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11640" tabRatio="790" activeTab="0"/>
  </bookViews>
  <sheets>
    <sheet name="Расчет" sheetId="1" r:id="rId1"/>
    <sheet name="R=100" sheetId="2" r:id="rId2"/>
    <sheet name="R=0.2" sheetId="3" r:id="rId3"/>
    <sheet name="R=0.3" sheetId="4" r:id="rId4"/>
    <sheet name="R=0.4" sheetId="5" r:id="rId5"/>
    <sheet name="R=0.5" sheetId="6" r:id="rId6"/>
    <sheet name="R=0.6" sheetId="7" r:id="rId7"/>
    <sheet name="R=0.7" sheetId="8" r:id="rId8"/>
    <sheet name="R=0.8" sheetId="9" r:id="rId9"/>
    <sheet name="R=0.9" sheetId="10" r:id="rId10"/>
    <sheet name="R=1.0" sheetId="11" r:id="rId11"/>
    <sheet name="Оконч.чертеж" sheetId="12" r:id="rId12"/>
    <sheet name="Толщ." sheetId="13" r:id="rId13"/>
    <sheet name="Углы" sheetId="14" r:id="rId14"/>
    <sheet name="Шаг" sheetId="15" r:id="rId15"/>
  </sheets>
  <definedNames>
    <definedName name="__123Graph_A" hidden="1">'Расчет'!$AJ$112:$AJ$142</definedName>
    <definedName name="__123Graph_AGraph1" hidden="1">'Расчет'!$AJ$112:$AJ$142</definedName>
    <definedName name="__123Graph_X" hidden="1">'Расчет'!$AI$112:$AI$142</definedName>
    <definedName name="__123Graph_XGraph1" hidden="1">'Расчет'!$AI$112:$AI$142</definedName>
    <definedName name="Область_печати_ИМ" localSheetId="0">'Расчет'!$A$1:$H$46</definedName>
  </definedNames>
  <calcPr fullCalcOnLoad="1"/>
</workbook>
</file>

<file path=xl/sharedStrings.xml><?xml version="1.0" encoding="utf-8"?>
<sst xmlns="http://schemas.openxmlformats.org/spreadsheetml/2006/main" count="270" uniqueCount="138">
  <si>
    <t>радиус</t>
  </si>
  <si>
    <t>шаг</t>
  </si>
  <si>
    <t>R</t>
  </si>
  <si>
    <t>Bl</t>
  </si>
  <si>
    <t>COS</t>
  </si>
  <si>
    <t>B</t>
  </si>
  <si>
    <t>C1</t>
  </si>
  <si>
    <t>C</t>
  </si>
  <si>
    <t>SIN</t>
  </si>
  <si>
    <t>hc</t>
  </si>
  <si>
    <t>раф-6</t>
  </si>
  <si>
    <t>угол</t>
  </si>
  <si>
    <t>%</t>
  </si>
  <si>
    <t>%B</t>
  </si>
  <si>
    <t>Yc</t>
  </si>
  <si>
    <t>Xc</t>
  </si>
  <si>
    <t>Yn</t>
  </si>
  <si>
    <t>Xn</t>
  </si>
  <si>
    <t>Ширина в</t>
  </si>
  <si>
    <t>плане</t>
  </si>
  <si>
    <t>Хорда</t>
  </si>
  <si>
    <t>Толщина</t>
  </si>
  <si>
    <t>текущ.</t>
  </si>
  <si>
    <t>Ширина</t>
  </si>
  <si>
    <t>лопасти</t>
  </si>
  <si>
    <t>Площ</t>
  </si>
  <si>
    <t>профиля</t>
  </si>
  <si>
    <t>Объем</t>
  </si>
  <si>
    <t>см3 на 1 лопасть</t>
  </si>
  <si>
    <t>Определение объема</t>
  </si>
  <si>
    <t>Радиус для</t>
  </si>
  <si>
    <t>построен.</t>
  </si>
  <si>
    <t>Гильфанов И.Р.</t>
  </si>
  <si>
    <t>Поворот</t>
  </si>
  <si>
    <t>шаблона</t>
  </si>
  <si>
    <t>кг из Al</t>
  </si>
  <si>
    <t>кг из ЭП</t>
  </si>
  <si>
    <t>кг из сосны</t>
  </si>
  <si>
    <t>Изменение шага винта по радиусу</t>
  </si>
  <si>
    <t>(крутка)</t>
  </si>
  <si>
    <t>гр.</t>
  </si>
  <si>
    <t>м</t>
  </si>
  <si>
    <t>кг</t>
  </si>
  <si>
    <t>м/с</t>
  </si>
  <si>
    <t>лопастей</t>
  </si>
  <si>
    <t>шт</t>
  </si>
  <si>
    <t>РАСЧЕТ ВИНТА ПО СТАТЬЕ "ВОЗДУШНЫЙ ВИНТ: КАК ЕГО РАСЧИТАТЬ?" М-К №11-12 1998 год</t>
  </si>
  <si>
    <t>Автор: Б. КАЛЕГАНС</t>
  </si>
  <si>
    <t>1.Проверка исходя из требуемой тяги: задаем</t>
  </si>
  <si>
    <t>N =</t>
  </si>
  <si>
    <t>л.с.</t>
  </si>
  <si>
    <t>F треб.=</t>
  </si>
  <si>
    <t>получаем</t>
  </si>
  <si>
    <t>D =</t>
  </si>
  <si>
    <t xml:space="preserve">n = </t>
  </si>
  <si>
    <t>об/мин</t>
  </si>
  <si>
    <r>
      <t>Исходные формулы:F = a*((N*D)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>)</t>
    </r>
    <r>
      <rPr>
        <vertAlign val="superscript"/>
        <sz val="10"/>
        <rFont val="Courier"/>
        <family val="1"/>
      </rPr>
      <t>1/3</t>
    </r>
    <r>
      <rPr>
        <sz val="10"/>
        <rFont val="Courier"/>
        <family val="1"/>
      </rPr>
      <t xml:space="preserve"> ; n = b*((N/D</t>
    </r>
    <r>
      <rPr>
        <vertAlign val="superscript"/>
        <sz val="10"/>
        <rFont val="Courier"/>
        <family val="1"/>
      </rPr>
      <t>5</t>
    </r>
    <r>
      <rPr>
        <sz val="10"/>
        <rFont val="Courier"/>
        <family val="1"/>
      </rPr>
      <t>)</t>
    </r>
    <r>
      <rPr>
        <vertAlign val="superscript"/>
        <sz val="10"/>
        <rFont val="Courier"/>
        <family val="1"/>
      </rPr>
      <t>1/3</t>
    </r>
    <r>
      <rPr>
        <sz val="10"/>
        <rFont val="Courier"/>
        <family val="1"/>
      </rPr>
      <t xml:space="preserve"> , где a = 7,5; b = 1,6</t>
    </r>
  </si>
  <si>
    <t xml:space="preserve">при </t>
  </si>
  <si>
    <t>2.Исходные данные для расчета винта: имеем</t>
  </si>
  <si>
    <t>мотор N =</t>
  </si>
  <si>
    <t>F =</t>
  </si>
  <si>
    <t>редукт.=</t>
  </si>
  <si>
    <t>Wокр =</t>
  </si>
  <si>
    <t>м/с коэф.</t>
  </si>
  <si>
    <t xml:space="preserve">3.Задаем крейсерскую скорость движения: </t>
  </si>
  <si>
    <t>V =</t>
  </si>
  <si>
    <t>км/час</t>
  </si>
  <si>
    <t xml:space="preserve">= </t>
  </si>
  <si>
    <t>B =</t>
  </si>
  <si>
    <t>B/D =</t>
  </si>
  <si>
    <t/>
  </si>
  <si>
    <t>ПОДХОДИТ</t>
  </si>
  <si>
    <t>ЗАДАЙТЕ ДРУГИЕ ПАРАМЕТРЫ</t>
  </si>
  <si>
    <t>j = a + b</t>
  </si>
  <si>
    <t>b(R) = 57,3*arctg(0,01*V/n*R)</t>
  </si>
  <si>
    <t>R,мм</t>
  </si>
  <si>
    <t>(для самолетов - взлетная скорость)</t>
  </si>
  <si>
    <t>удельная тяга</t>
  </si>
  <si>
    <t xml:space="preserve"> габаритный D =</t>
  </si>
  <si>
    <t>м  кол-во</t>
  </si>
  <si>
    <r>
      <t>r</t>
    </r>
    <r>
      <rPr>
        <sz val="10"/>
        <rFont val="Courier"/>
        <family val="0"/>
      </rPr>
      <t xml:space="preserve"> =</t>
    </r>
  </si>
  <si>
    <r>
      <t>a</t>
    </r>
    <r>
      <rPr>
        <sz val="10"/>
        <rFont val="Courier"/>
        <family val="0"/>
      </rPr>
      <t>(R) = 57,3*(3,3*10</t>
    </r>
    <r>
      <rPr>
        <vertAlign val="superscript"/>
        <sz val="10"/>
        <rFont val="Courier"/>
        <family val="1"/>
      </rPr>
      <t>-4</t>
    </r>
    <r>
      <rPr>
        <sz val="10"/>
        <rFont val="Courier"/>
        <family val="1"/>
      </rPr>
      <t>*</t>
    </r>
    <r>
      <rPr>
        <sz val="10"/>
        <rFont val="Symbol"/>
        <family val="1"/>
      </rPr>
      <t>r</t>
    </r>
    <r>
      <rPr>
        <sz val="10"/>
        <rFont val="Courier"/>
        <family val="0"/>
      </rPr>
      <t>/(n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>*R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 xml:space="preserve"> + 10</t>
    </r>
    <r>
      <rPr>
        <vertAlign val="superscript"/>
        <sz val="10"/>
        <rFont val="Courier"/>
        <family val="1"/>
      </rPr>
      <t>-4</t>
    </r>
    <r>
      <rPr>
        <sz val="10"/>
        <rFont val="Courier"/>
        <family val="0"/>
      </rPr>
      <t>*V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>) - 0,018)</t>
    </r>
  </si>
  <si>
    <r>
      <t>a</t>
    </r>
    <r>
      <rPr>
        <sz val="10"/>
        <rFont val="Courier"/>
        <family val="1"/>
      </rPr>
      <t>, град</t>
    </r>
  </si>
  <si>
    <r>
      <t>b</t>
    </r>
    <r>
      <rPr>
        <sz val="10"/>
        <rFont val="Courier"/>
        <family val="0"/>
      </rPr>
      <t>, град</t>
    </r>
  </si>
  <si>
    <t>W окр.</t>
  </si>
  <si>
    <t>j - d</t>
  </si>
  <si>
    <t xml:space="preserve"> d</t>
  </si>
  <si>
    <r>
      <t xml:space="preserve">5.Углы установки </t>
    </r>
    <r>
      <rPr>
        <sz val="10"/>
        <rFont val="Symbol"/>
        <family val="1"/>
      </rPr>
      <t>j</t>
    </r>
    <r>
      <rPr>
        <sz val="10"/>
        <rFont val="Courier"/>
        <family val="0"/>
      </rPr>
      <t xml:space="preserve"> считаются по формулам:</t>
    </r>
  </si>
  <si>
    <t>Относит.</t>
  </si>
  <si>
    <t>толщина</t>
  </si>
  <si>
    <r>
      <t>COS(</t>
    </r>
    <r>
      <rPr>
        <sz val="10"/>
        <rFont val="Symbol"/>
        <family val="1"/>
      </rPr>
      <t>j - d</t>
    </r>
    <r>
      <rPr>
        <sz val="10"/>
        <rFont val="Courier"/>
        <family val="1"/>
      </rPr>
      <t>)</t>
    </r>
  </si>
  <si>
    <r>
      <t>COS(</t>
    </r>
    <r>
      <rPr>
        <sz val="10"/>
        <color indexed="12"/>
        <rFont val="Symbol"/>
        <family val="1"/>
      </rPr>
      <t>j</t>
    </r>
    <r>
      <rPr>
        <sz val="10"/>
        <color indexed="12"/>
        <rFont val="Courier"/>
        <family val="0"/>
      </rPr>
      <t>)</t>
    </r>
  </si>
  <si>
    <r>
      <t>SIN(</t>
    </r>
    <r>
      <rPr>
        <sz val="10"/>
        <color indexed="12"/>
        <rFont val="Symbol"/>
        <family val="1"/>
      </rPr>
      <t>j</t>
    </r>
    <r>
      <rPr>
        <sz val="10"/>
        <color indexed="12"/>
        <rFont val="Courier"/>
        <family val="0"/>
      </rPr>
      <t>)</t>
    </r>
  </si>
  <si>
    <r>
      <t>SIN(</t>
    </r>
    <r>
      <rPr>
        <sz val="10"/>
        <rFont val="Symbol"/>
        <family val="1"/>
      </rPr>
      <t>j - d</t>
    </r>
    <r>
      <rPr>
        <sz val="10"/>
        <rFont val="Courier"/>
        <family val="1"/>
      </rPr>
      <t>)</t>
    </r>
  </si>
  <si>
    <t>условная</t>
  </si>
  <si>
    <t>v, км/ч</t>
  </si>
  <si>
    <t>для</t>
  </si>
  <si>
    <t>построения</t>
  </si>
  <si>
    <t>шаблонов</t>
  </si>
  <si>
    <t>Для варианта винта с изменяемым шагом этот блок позволяет проверить как</t>
  </si>
  <si>
    <t>влияет угол перестановки лопасти на шаг винта и "скорость ввинчивания"</t>
  </si>
  <si>
    <t>- удобно для изготовления</t>
  </si>
  <si>
    <t xml:space="preserve">  модели лопасти </t>
  </si>
  <si>
    <r>
      <t>TAN(</t>
    </r>
    <r>
      <rPr>
        <sz val="10"/>
        <rFont val="Symbol"/>
        <family val="1"/>
      </rPr>
      <t>j + яy</t>
    </r>
    <r>
      <rPr>
        <sz val="10"/>
        <rFont val="Courier"/>
        <family val="1"/>
      </rPr>
      <t>)</t>
    </r>
  </si>
  <si>
    <r>
      <t xml:space="preserve">угол устан. </t>
    </r>
    <r>
      <rPr>
        <sz val="10"/>
        <rFont val="Symbol"/>
        <family val="1"/>
      </rPr>
      <t>y</t>
    </r>
  </si>
  <si>
    <t>R, мм</t>
  </si>
  <si>
    <t>H шаг, мм</t>
  </si>
  <si>
    <t>H', мм</t>
  </si>
  <si>
    <t>H' - H</t>
  </si>
  <si>
    <t>новый</t>
  </si>
  <si>
    <t>разн. в</t>
  </si>
  <si>
    <t>разн.в мм</t>
  </si>
  <si>
    <t>Рабочим считается участок лопасти от ее середины до конца</t>
  </si>
  <si>
    <t>т.е заданная тяга обеспечивается только этим участком</t>
  </si>
  <si>
    <t>коэф.подъем.</t>
  </si>
  <si>
    <t>силы</t>
  </si>
  <si>
    <r>
      <t>C</t>
    </r>
    <r>
      <rPr>
        <vertAlign val="subscript"/>
        <sz val="10"/>
        <rFont val="Courier"/>
        <family val="1"/>
      </rPr>
      <t>y</t>
    </r>
  </si>
  <si>
    <t>рабочие</t>
  </si>
  <si>
    <t>участки</t>
  </si>
  <si>
    <t xml:space="preserve">участки </t>
  </si>
  <si>
    <t>не</t>
  </si>
  <si>
    <t>средн.</t>
  </si>
  <si>
    <t>одной лопасти</t>
  </si>
  <si>
    <t>Блок построения профилей (прошу не трогать )</t>
  </si>
  <si>
    <t>Доплнит.</t>
  </si>
  <si>
    <t>коэфф.</t>
  </si>
  <si>
    <t xml:space="preserve"> (повернуть шаблоны для уменьшения размеров заготовки)</t>
  </si>
  <si>
    <t xml:space="preserve"> (попробуйте установить около 25 градусов и посмотреть результат)</t>
  </si>
  <si>
    <t>4.Задаем ширину лопасти (от 0,08 до 0,12 D)</t>
  </si>
  <si>
    <t>Скорость</t>
  </si>
  <si>
    <t>"ввинчивания"</t>
  </si>
  <si>
    <t>Блок для построений !!!</t>
  </si>
  <si>
    <t>Блок для построений!!!</t>
  </si>
  <si>
    <t>b'</t>
  </si>
  <si>
    <t>b'=</t>
  </si>
  <si>
    <r>
      <t xml:space="preserve">на этом участке угол </t>
    </r>
    <r>
      <rPr>
        <sz val="10"/>
        <rFont val="Symbol"/>
        <family val="1"/>
      </rPr>
      <t>a</t>
    </r>
    <r>
      <rPr>
        <sz val="10"/>
        <rFont val="Courier"/>
        <family val="0"/>
      </rPr>
      <t xml:space="preserve"> не должен превышать 18 градусов (предельного угла атаки профиля RAF-6)</t>
    </r>
  </si>
  <si>
    <t>rn</t>
  </si>
  <si>
    <t>rxb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</si>
</sst>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#,##0.000_);\(#,##0.000\)"/>
    <numFmt numFmtId="167" formatCode="#,##0.0_);\(#,##0.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Courier"/>
      <family val="0"/>
    </font>
    <font>
      <sz val="10"/>
      <name val="Arial Cyr"/>
      <family val="0"/>
    </font>
    <font>
      <sz val="10"/>
      <color indexed="12"/>
      <name val="Courier"/>
      <family val="0"/>
    </font>
    <font>
      <sz val="10"/>
      <name val="Symbol"/>
      <family val="1"/>
    </font>
    <font>
      <vertAlign val="superscript"/>
      <sz val="10"/>
      <name val="Courier"/>
      <family val="1"/>
    </font>
    <font>
      <b/>
      <u val="doubleAccounting"/>
      <sz val="10"/>
      <color indexed="57"/>
      <name val="Courier"/>
      <family val="1"/>
    </font>
    <font>
      <b/>
      <sz val="10"/>
      <color indexed="10"/>
      <name val="Courier"/>
      <family val="1"/>
    </font>
    <font>
      <b/>
      <sz val="10"/>
      <color indexed="9"/>
      <name val="Courier"/>
      <family val="1"/>
    </font>
    <font>
      <sz val="10"/>
      <color indexed="12"/>
      <name val="Symbol"/>
      <family val="1"/>
    </font>
    <font>
      <vertAlign val="subscript"/>
      <sz val="10"/>
      <name val="Courier"/>
      <family val="1"/>
    </font>
    <font>
      <sz val="10"/>
      <color indexed="8"/>
      <name val="Arial Cyr"/>
      <family val="0"/>
    </font>
    <font>
      <sz val="10.75"/>
      <color indexed="8"/>
      <name val="Arial Cyr"/>
      <family val="0"/>
    </font>
    <font>
      <sz val="8.2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5.75"/>
      <color indexed="8"/>
      <name val="Arial Cyr"/>
      <family val="0"/>
    </font>
    <font>
      <sz val="9.2"/>
      <color indexed="8"/>
      <name val="Symbol"/>
      <family val="0"/>
    </font>
    <font>
      <sz val="16"/>
      <color indexed="8"/>
      <name val="Arial Cyr"/>
      <family val="0"/>
    </font>
    <font>
      <sz val="14.7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Calibri"/>
      <family val="0"/>
    </font>
    <font>
      <b/>
      <sz val="14.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0" fillId="24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24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2" fillId="25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164" fontId="2" fillId="24" borderId="0" xfId="0" applyNumberFormat="1" applyFont="1" applyFill="1" applyAlignment="1" applyProtection="1">
      <alignment/>
      <protection/>
    </xf>
    <xf numFmtId="2" fontId="2" fillId="24" borderId="0" xfId="0" applyNumberFormat="1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right"/>
      <protection/>
    </xf>
    <xf numFmtId="2" fontId="2" fillId="24" borderId="0" xfId="0" applyNumberFormat="1" applyFont="1" applyFill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0" fontId="0" fillId="10" borderId="10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8" fontId="0" fillId="0" borderId="0" xfId="0" applyNumberFormat="1" applyAlignment="1" applyProtection="1">
      <alignment horizontal="center"/>
      <protection/>
    </xf>
    <xf numFmtId="168" fontId="0" fillId="24" borderId="0" xfId="0" applyNumberForma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164" fontId="0" fillId="4" borderId="0" xfId="0" applyNumberFormat="1" applyFill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 horizontal="center"/>
      <protection/>
    </xf>
    <xf numFmtId="0" fontId="0" fillId="22" borderId="11" xfId="0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/>
    </xf>
    <xf numFmtId="168" fontId="0" fillId="4" borderId="11" xfId="0" applyNumberForma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0" fillId="0" borderId="18" xfId="0" applyNumberFormat="1" applyBorder="1" applyAlignment="1" applyProtection="1">
      <alignment horizontal="right"/>
      <protection/>
    </xf>
    <xf numFmtId="164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168" fontId="0" fillId="0" borderId="18" xfId="0" applyNumberFormat="1" applyFill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right"/>
      <protection/>
    </xf>
    <xf numFmtId="16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2" fontId="0" fillId="0" borderId="16" xfId="0" applyNumberForma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 quotePrefix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65" fontId="0" fillId="0" borderId="10" xfId="0" applyNumberForma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165" fontId="0" fillId="4" borderId="20" xfId="0" applyNumberFormat="1" applyFill="1" applyBorder="1" applyAlignment="1" applyProtection="1">
      <alignment horizontal="center"/>
      <protection/>
    </xf>
    <xf numFmtId="165" fontId="0" fillId="7" borderId="20" xfId="0" applyNumberFormat="1" applyFill="1" applyBorder="1" applyAlignment="1" applyProtection="1">
      <alignment horizontal="center"/>
      <protection/>
    </xf>
    <xf numFmtId="1" fontId="0" fillId="4" borderId="20" xfId="0" applyNumberFormat="1" applyFill="1" applyBorder="1" applyAlignment="1" applyProtection="1">
      <alignment horizontal="center"/>
      <protection/>
    </xf>
    <xf numFmtId="1" fontId="0" fillId="26" borderId="20" xfId="0" applyNumberFormat="1" applyFill="1" applyBorder="1" applyAlignment="1" applyProtection="1">
      <alignment horizontal="center"/>
      <protection/>
    </xf>
    <xf numFmtId="168" fontId="0" fillId="26" borderId="20" xfId="0" applyNumberFormat="1" applyFill="1" applyBorder="1" applyAlignment="1" applyProtection="1">
      <alignment horizontal="center"/>
      <protection/>
    </xf>
    <xf numFmtId="166" fontId="0" fillId="10" borderId="20" xfId="0" applyNumberFormat="1" applyFont="1" applyFill="1" applyBorder="1" applyAlignment="1" applyProtection="1">
      <alignment horizontal="right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0" fillId="10" borderId="20" xfId="0" applyFont="1" applyFill="1" applyBorder="1" applyAlignment="1" applyProtection="1">
      <alignment horizontal="center"/>
      <protection/>
    </xf>
    <xf numFmtId="167" fontId="2" fillId="4" borderId="20" xfId="0" applyNumberFormat="1" applyFont="1" applyFill="1" applyBorder="1" applyAlignment="1" applyProtection="1">
      <alignment horizontal="center"/>
      <protection/>
    </xf>
    <xf numFmtId="168" fontId="0" fillId="25" borderId="11" xfId="0" applyNumberFormat="1" applyFill="1" applyBorder="1" applyAlignment="1" applyProtection="1">
      <alignment horizontal="center"/>
      <protection locked="0"/>
    </xf>
    <xf numFmtId="165" fontId="0" fillId="24" borderId="0" xfId="0" applyNumberFormat="1" applyFont="1" applyFill="1" applyBorder="1" applyAlignment="1" applyProtection="1">
      <alignment horizontal="center"/>
      <protection/>
    </xf>
    <xf numFmtId="164" fontId="2" fillId="10" borderId="20" xfId="0" applyNumberFormat="1" applyFont="1" applyFill="1" applyBorder="1" applyAlignment="1" applyProtection="1">
      <alignment/>
      <protection/>
    </xf>
    <xf numFmtId="170" fontId="2" fillId="10" borderId="20" xfId="0" applyNumberFormat="1" applyFont="1" applyFill="1" applyBorder="1" applyAlignment="1" applyProtection="1">
      <alignment horizontal="center"/>
      <protection/>
    </xf>
    <xf numFmtId="168" fontId="2" fillId="10" borderId="20" xfId="0" applyNumberFormat="1" applyFont="1" applyFill="1" applyBorder="1" applyAlignment="1" applyProtection="1">
      <alignment horizontal="center"/>
      <protection/>
    </xf>
    <xf numFmtId="164" fontId="2" fillId="10" borderId="20" xfId="0" applyNumberFormat="1" applyFont="1" applyFill="1" applyBorder="1" applyAlignment="1" applyProtection="1">
      <alignment horizontal="center"/>
      <protection/>
    </xf>
    <xf numFmtId="164" fontId="2" fillId="4" borderId="20" xfId="0" applyNumberFormat="1" applyFont="1" applyFill="1" applyBorder="1" applyAlignment="1" applyProtection="1">
      <alignment/>
      <protection/>
    </xf>
    <xf numFmtId="170" fontId="2" fillId="4" borderId="20" xfId="0" applyNumberFormat="1" applyFont="1" applyFill="1" applyBorder="1" applyAlignment="1" applyProtection="1">
      <alignment/>
      <protection/>
    </xf>
    <xf numFmtId="170" fontId="2" fillId="26" borderId="20" xfId="0" applyNumberFormat="1" applyFont="1" applyFill="1" applyBorder="1" applyAlignment="1" applyProtection="1">
      <alignment/>
      <protection/>
    </xf>
    <xf numFmtId="168" fontId="2" fillId="22" borderId="20" xfId="0" applyNumberFormat="1" applyFont="1" applyFill="1" applyBorder="1" applyAlignment="1" applyProtection="1">
      <alignment/>
      <protection/>
    </xf>
    <xf numFmtId="164" fontId="2" fillId="22" borderId="20" xfId="0" applyNumberFormat="1" applyFont="1" applyFill="1" applyBorder="1" applyAlignment="1" applyProtection="1">
      <alignment/>
      <protection/>
    </xf>
    <xf numFmtId="1" fontId="2" fillId="7" borderId="20" xfId="0" applyNumberFormat="1" applyFont="1" applyFill="1" applyBorder="1" applyAlignment="1" applyProtection="1">
      <alignment horizontal="center"/>
      <protection/>
    </xf>
    <xf numFmtId="168" fontId="2" fillId="26" borderId="20" xfId="0" applyNumberFormat="1" applyFont="1" applyFill="1" applyBorder="1" applyAlignment="1" applyProtection="1">
      <alignment horizontal="center"/>
      <protection/>
    </xf>
    <xf numFmtId="0" fontId="0" fillId="1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1" fontId="0" fillId="26" borderId="21" xfId="0" applyNumberFormat="1" applyFill="1" applyBorder="1" applyAlignment="1" applyProtection="1">
      <alignment horizontal="center"/>
      <protection/>
    </xf>
    <xf numFmtId="0" fontId="2" fillId="7" borderId="21" xfId="0" applyFont="1" applyFill="1" applyBorder="1" applyAlignment="1" applyProtection="1">
      <alignment horizontal="center"/>
      <protection/>
    </xf>
    <xf numFmtId="168" fontId="2" fillId="3" borderId="21" xfId="0" applyNumberFormat="1" applyFont="1" applyFill="1" applyBorder="1" applyAlignment="1" applyProtection="1">
      <alignment horizontal="center"/>
      <protection/>
    </xf>
    <xf numFmtId="1" fontId="0" fillId="4" borderId="21" xfId="0" applyNumberFormat="1" applyFill="1" applyBorder="1" applyAlignment="1" applyProtection="1">
      <alignment horizontal="center"/>
      <protection/>
    </xf>
    <xf numFmtId="168" fontId="0" fillId="26" borderId="21" xfId="0" applyNumberFormat="1" applyFill="1" applyBorder="1" applyAlignment="1" applyProtection="1">
      <alignment horizontal="center"/>
      <protection/>
    </xf>
    <xf numFmtId="164" fontId="3" fillId="10" borderId="20" xfId="0" applyNumberFormat="1" applyFont="1" applyFill="1" applyBorder="1" applyAlignment="1" applyProtection="1">
      <alignment horizontal="center"/>
      <protection/>
    </xf>
    <xf numFmtId="1" fontId="2" fillId="10" borderId="20" xfId="0" applyNumberFormat="1" applyFont="1" applyFill="1" applyBorder="1" applyAlignment="1" applyProtection="1">
      <alignment horizontal="center"/>
      <protection/>
    </xf>
    <xf numFmtId="169" fontId="2" fillId="4" borderId="20" xfId="0" applyNumberFormat="1" applyFont="1" applyFill="1" applyBorder="1" applyAlignment="1" applyProtection="1">
      <alignment/>
      <protection/>
    </xf>
    <xf numFmtId="169" fontId="2" fillId="26" borderId="20" xfId="0" applyNumberFormat="1" applyFont="1" applyFill="1" applyBorder="1" applyAlignment="1" applyProtection="1">
      <alignment/>
      <protection/>
    </xf>
    <xf numFmtId="164" fontId="3" fillId="10" borderId="10" xfId="0" applyNumberFormat="1" applyFont="1" applyFill="1" applyBorder="1" applyAlignment="1" applyProtection="1">
      <alignment horizontal="center"/>
      <protection/>
    </xf>
    <xf numFmtId="164" fontId="3" fillId="10" borderId="22" xfId="0" applyNumberFormat="1" applyFont="1" applyFill="1" applyBorder="1" applyAlignment="1" applyProtection="1">
      <alignment horizontal="center"/>
      <protection/>
    </xf>
    <xf numFmtId="0" fontId="0" fillId="7" borderId="20" xfId="0" applyFill="1" applyBorder="1" applyAlignment="1" applyProtection="1">
      <alignment horizontal="center"/>
      <protection/>
    </xf>
    <xf numFmtId="168" fontId="0" fillId="7" borderId="2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3" fillId="1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168" fontId="0" fillId="3" borderId="20" xfId="0" applyNumberFormat="1" applyFill="1" applyBorder="1" applyAlignment="1" applyProtection="1">
      <alignment horizontal="center"/>
      <protection/>
    </xf>
    <xf numFmtId="170" fontId="0" fillId="26" borderId="20" xfId="0" applyNumberFormat="1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1" fontId="0" fillId="3" borderId="2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8" fontId="0" fillId="0" borderId="20" xfId="0" applyNumberFormat="1" applyFill="1" applyBorder="1" applyAlignment="1" applyProtection="1">
      <alignment horizontal="center"/>
      <protection/>
    </xf>
    <xf numFmtId="170" fontId="0" fillId="0" borderId="20" xfId="0" applyNumberFormat="1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165" fontId="0" fillId="0" borderId="22" xfId="0" applyNumberFormat="1" applyFill="1" applyBorder="1" applyAlignment="1" applyProtection="1">
      <alignment horizontal="center"/>
      <protection/>
    </xf>
    <xf numFmtId="165" fontId="0" fillId="0" borderId="21" xfId="0" applyNumberFormat="1" applyFill="1" applyBorder="1" applyAlignment="1" applyProtection="1">
      <alignment horizontal="center"/>
      <protection/>
    </xf>
    <xf numFmtId="164" fontId="0" fillId="10" borderId="23" xfId="0" applyNumberFormat="1" applyFill="1" applyBorder="1" applyAlignment="1" applyProtection="1">
      <alignment horizontal="center"/>
      <protection/>
    </xf>
    <xf numFmtId="1" fontId="0" fillId="26" borderId="11" xfId="0" applyNumberFormat="1" applyFill="1" applyBorder="1" applyAlignment="1" applyProtection="1">
      <alignment horizontal="center"/>
      <protection/>
    </xf>
    <xf numFmtId="1" fontId="0" fillId="3" borderId="11" xfId="0" applyNumberFormat="1" applyFill="1" applyBorder="1" applyAlignment="1" applyProtection="1">
      <alignment horizontal="center"/>
      <protection/>
    </xf>
    <xf numFmtId="168" fontId="0" fillId="7" borderId="11" xfId="0" applyNumberFormat="1" applyFill="1" applyBorder="1" applyAlignment="1" applyProtection="1">
      <alignment horizontal="center"/>
      <protection/>
    </xf>
    <xf numFmtId="2" fontId="0" fillId="4" borderId="20" xfId="0" applyNumberFormat="1" applyFill="1" applyBorder="1" applyAlignment="1" applyProtection="1">
      <alignment/>
      <protection/>
    </xf>
    <xf numFmtId="2" fontId="0" fillId="26" borderId="20" xfId="0" applyNumberFormat="1" applyFill="1" applyBorder="1" applyAlignment="1" applyProtection="1">
      <alignment/>
      <protection/>
    </xf>
    <xf numFmtId="2" fontId="0" fillId="26" borderId="20" xfId="0" applyNumberForma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64" fontId="0" fillId="3" borderId="0" xfId="0" applyNumberForma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7" fontId="2" fillId="3" borderId="0" xfId="0" applyNumberFormat="1" applyFont="1" applyFill="1" applyBorder="1" applyAlignment="1" applyProtection="1">
      <alignment/>
      <protection/>
    </xf>
    <xf numFmtId="170" fontId="2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168" fontId="2" fillId="3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right"/>
      <protection/>
    </xf>
    <xf numFmtId="168" fontId="0" fillId="0" borderId="0" xfId="0" applyNumberForma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" fontId="0" fillId="0" borderId="3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2" fillId="0" borderId="30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165" fontId="0" fillId="0" borderId="27" xfId="0" applyNumberForma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65" fontId="0" fillId="0" borderId="29" xfId="0" applyNumberFormat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/>
      <protection/>
    </xf>
    <xf numFmtId="168" fontId="0" fillId="4" borderId="11" xfId="0" applyNumberFormat="1" applyFill="1" applyBorder="1" applyAlignment="1" applyProtection="1">
      <alignment/>
      <protection/>
    </xf>
    <xf numFmtId="1" fontId="0" fillId="4" borderId="11" xfId="0" applyNumberFormat="1" applyFill="1" applyBorder="1" applyAlignment="1" applyProtection="1">
      <alignment/>
      <protection/>
    </xf>
    <xf numFmtId="168" fontId="0" fillId="4" borderId="21" xfId="0" applyNumberFormat="1" applyFill="1" applyBorder="1" applyAlignment="1" applyProtection="1">
      <alignment horizontal="center"/>
      <protection/>
    </xf>
    <xf numFmtId="1" fontId="2" fillId="4" borderId="20" xfId="0" applyNumberFormat="1" applyFont="1" applyFill="1" applyBorder="1" applyAlignment="1" applyProtection="1">
      <alignment horizontal="center"/>
      <protection/>
    </xf>
    <xf numFmtId="168" fontId="0" fillId="4" borderId="20" xfId="0" applyNumberFormat="1" applyFill="1" applyBorder="1" applyAlignment="1" applyProtection="1">
      <alignment horizontal="center"/>
      <protection/>
    </xf>
    <xf numFmtId="168" fontId="0" fillId="19" borderId="20" xfId="0" applyNumberFormat="1" applyFill="1" applyBorder="1" applyAlignment="1" applyProtection="1">
      <alignment horizontal="center"/>
      <protection/>
    </xf>
    <xf numFmtId="171" fontId="0" fillId="0" borderId="20" xfId="0" applyNumberFormat="1" applyBorder="1" applyAlignment="1" applyProtection="1">
      <alignment/>
      <protection/>
    </xf>
    <xf numFmtId="171" fontId="0" fillId="26" borderId="2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2" fontId="0" fillId="22" borderId="11" xfId="0" applyNumberFormat="1" applyFill="1" applyBorder="1" applyAlignment="1" applyProtection="1">
      <alignment horizontal="center"/>
      <protection locked="0"/>
    </xf>
    <xf numFmtId="0" fontId="0" fillId="25" borderId="11" xfId="0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168" fontId="2" fillId="25" borderId="0" xfId="0" applyNumberFormat="1" applyFont="1" applyFill="1" applyBorder="1" applyAlignment="1" applyProtection="1">
      <alignment/>
      <protection/>
    </xf>
    <xf numFmtId="2" fontId="0" fillId="25" borderId="0" xfId="0" applyNumberFormat="1" applyFill="1" applyAlignment="1" applyProtection="1">
      <alignment/>
      <protection/>
    </xf>
    <xf numFmtId="2" fontId="2" fillId="25" borderId="0" xfId="0" applyNumberFormat="1" applyFont="1" applyFill="1" applyAlignment="1" applyProtection="1">
      <alignment/>
      <protection/>
    </xf>
    <xf numFmtId="168" fontId="2" fillId="0" borderId="0" xfId="0" applyNumberFormat="1" applyFont="1" applyBorder="1" applyAlignment="1" applyProtection="1">
      <alignment horizontal="right"/>
      <protection/>
    </xf>
    <xf numFmtId="0" fontId="0" fillId="10" borderId="15" xfId="0" applyFill="1" applyBorder="1" applyAlignment="1" applyProtection="1">
      <alignment horizontal="center"/>
      <protection/>
    </xf>
    <xf numFmtId="170" fontId="0" fillId="10" borderId="0" xfId="0" applyNumberForma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R=100
RAF-6M</a:t>
            </a:r>
          </a:p>
        </c:rich>
      </c:tx>
      <c:layout>
        <c:manualLayout>
          <c:xMode val="factor"/>
          <c:yMode val="factor"/>
          <c:x val="0.155"/>
          <c:y val="0.1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47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Расчет!$AI$77:$AI$105</c:f>
              <c:numCache>
                <c:ptCount val="29"/>
                <c:pt idx="0">
                  <c:v>-55.25178344025366</c:v>
                </c:pt>
                <c:pt idx="1">
                  <c:v>-53.041325350085515</c:v>
                </c:pt>
                <c:pt idx="2">
                  <c:v>-46.393936496589106</c:v>
                </c:pt>
                <c:pt idx="3">
                  <c:v>-40.89776923442656</c:v>
                </c:pt>
                <c:pt idx="4">
                  <c:v>-32.1266692594121</c:v>
                </c:pt>
                <c:pt idx="5">
                  <c:v>-18.179725081063715</c:v>
                </c:pt>
                <c:pt idx="6">
                  <c:v>-5.843278532388933</c:v>
                </c:pt>
                <c:pt idx="7">
                  <c:v>5.273844738044795</c:v>
                </c:pt>
                <c:pt idx="8">
                  <c:v>15.807501336515568</c:v>
                </c:pt>
                <c:pt idx="9">
                  <c:v>25.82592083263897</c:v>
                </c:pt>
                <c:pt idx="10">
                  <c:v>35.25223439055209</c:v>
                </c:pt>
                <c:pt idx="11">
                  <c:v>43.97896592306858</c:v>
                </c:pt>
                <c:pt idx="12">
                  <c:v>51.92408294581575</c:v>
                </c:pt>
                <c:pt idx="13">
                  <c:v>58.51446900391291</c:v>
                </c:pt>
                <c:pt idx="14">
                  <c:v>57.385343114610805</c:v>
                </c:pt>
                <c:pt idx="15">
                  <c:v>56.967148340795205</c:v>
                </c:pt>
                <c:pt idx="16">
                  <c:v>44.18747963022723</c:v>
                </c:pt>
                <c:pt idx="17">
                  <c:v>31.600400618126955</c:v>
                </c:pt>
                <c:pt idx="18">
                  <c:v>18.8948445233078</c:v>
                </c:pt>
                <c:pt idx="19">
                  <c:v>6.594935448176086</c:v>
                </c:pt>
                <c:pt idx="20">
                  <c:v>-5.191850520081833</c:v>
                </c:pt>
                <c:pt idx="21">
                  <c:v>-16.609690354619865</c:v>
                </c:pt>
                <c:pt idx="22">
                  <c:v>-27.94785943407041</c:v>
                </c:pt>
                <c:pt idx="23">
                  <c:v>-39.17907693766112</c:v>
                </c:pt>
                <c:pt idx="24">
                  <c:v>-49.58928817174046</c:v>
                </c:pt>
                <c:pt idx="25">
                  <c:v>-53.93947196641864</c:v>
                </c:pt>
                <c:pt idx="26">
                  <c:v>-55.45681466627852</c:v>
                </c:pt>
                <c:pt idx="27">
                  <c:v>-55.98860280364305</c:v>
                </c:pt>
                <c:pt idx="28">
                  <c:v>-55.25178344025366</c:v>
                </c:pt>
              </c:numCache>
            </c:numRef>
          </c:xVal>
          <c:yVal>
            <c:numRef>
              <c:f>Расчет!$AJ$77:$AJ$105</c:f>
              <c:numCache>
                <c:ptCount val="29"/>
                <c:pt idx="0">
                  <c:v>26.577933121049895</c:v>
                </c:pt>
                <c:pt idx="1">
                  <c:v>29.923672954272163</c:v>
                </c:pt>
                <c:pt idx="2">
                  <c:v>33.862532375668536</c:v>
                </c:pt>
                <c:pt idx="3">
                  <c:v>36.05890776078162</c:v>
                </c:pt>
                <c:pt idx="4">
                  <c:v>37.08960749569832</c:v>
                </c:pt>
                <c:pt idx="5">
                  <c:v>33.70924333317128</c:v>
                </c:pt>
                <c:pt idx="6">
                  <c:v>27.89123690324476</c:v>
                </c:pt>
                <c:pt idx="7">
                  <c:v>20.227668017403985</c:v>
                </c:pt>
                <c:pt idx="8">
                  <c:v>11.680966492936443</c:v>
                </c:pt>
                <c:pt idx="9">
                  <c:v>2.354404312189054</c:v>
                </c:pt>
                <c:pt idx="10">
                  <c:v>-7.868366863322352</c:v>
                </c:pt>
                <c:pt idx="11">
                  <c:v>-19.150022375698867</c:v>
                </c:pt>
                <c:pt idx="12">
                  <c:v>-31.61472623954212</c:v>
                </c:pt>
                <c:pt idx="13">
                  <c:v>-46.12994504953589</c:v>
                </c:pt>
                <c:pt idx="14">
                  <c:v>-47.83898512650619</c:v>
                </c:pt>
                <c:pt idx="15">
                  <c:v>-48.471962932791484</c:v>
                </c:pt>
                <c:pt idx="16">
                  <c:v>-43.32481565582007</c:v>
                </c:pt>
                <c:pt idx="17">
                  <c:v>-37.88616544174358</c:v>
                </c:pt>
                <c:pt idx="18">
                  <c:v>-32.626841629167146</c:v>
                </c:pt>
                <c:pt idx="19">
                  <c:v>-26.7535322368447</c:v>
                </c:pt>
                <c:pt idx="20">
                  <c:v>-20.103561922675127</c:v>
                </c:pt>
                <c:pt idx="21">
                  <c:v>-12.895156331496487</c:v>
                </c:pt>
                <c:pt idx="22">
                  <c:v>-5.566161428977939</c:v>
                </c:pt>
                <c:pt idx="23">
                  <c:v>1.9247149175597116</c:v>
                </c:pt>
                <c:pt idx="24">
                  <c:v>10.658262813242384</c:v>
                </c:pt>
                <c:pt idx="25">
                  <c:v>16.319042744770226</c:v>
                </c:pt>
                <c:pt idx="26">
                  <c:v>20.144999059457223</c:v>
                </c:pt>
                <c:pt idx="27">
                  <c:v>25.462686509975804</c:v>
                </c:pt>
                <c:pt idx="28">
                  <c:v>26.577933121049895</c:v>
                </c:pt>
              </c:numCache>
            </c:numRef>
          </c:yVal>
          <c:smooth val="1"/>
        </c:ser>
        <c:axId val="17969133"/>
        <c:axId val="27504470"/>
      </c:scatterChart>
      <c:valAx>
        <c:axId val="17969133"/>
        <c:scaling>
          <c:orientation val="minMax"/>
          <c:max val="120"/>
          <c:min val="-1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7504470"/>
        <c:crossesAt val="0"/>
        <c:crossBetween val="midCat"/>
        <c:dispUnits/>
        <c:majorUnit val="10"/>
        <c:minorUnit val="4"/>
      </c:valAx>
      <c:valAx>
        <c:axId val="27504470"/>
        <c:scaling>
          <c:orientation val="minMax"/>
          <c:max val="50"/>
          <c:min val="-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R=1.0</a:t>
            </a:r>
          </a:p>
        </c:rich>
      </c:tx>
      <c:layout>
        <c:manualLayout>
          <c:xMode val="factor"/>
          <c:yMode val="factor"/>
          <c:x val="0.087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725"/>
          <c:h val="0.66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Расчет!$AI$330:$AI$345</c:f>
              <c:numCache>
                <c:ptCount val="16"/>
                <c:pt idx="0">
                  <c:v>-66.45839885440853</c:v>
                </c:pt>
                <c:pt idx="1">
                  <c:v>-66.31698642078177</c:v>
                </c:pt>
                <c:pt idx="2">
                  <c:v>-62.225755838412475</c:v>
                </c:pt>
                <c:pt idx="3">
                  <c:v>-58.31836141975794</c:v>
                </c:pt>
                <c:pt idx="4">
                  <c:v>-50.72983247625168</c:v>
                </c:pt>
                <c:pt idx="5">
                  <c:v>-35.89216442994338</c:v>
                </c:pt>
                <c:pt idx="6">
                  <c:v>-21.210050060624496</c:v>
                </c:pt>
                <c:pt idx="7">
                  <c:v>-6.612783151481673</c:v>
                </c:pt>
                <c:pt idx="8">
                  <c:v>7.942060027573132</c:v>
                </c:pt>
                <c:pt idx="9">
                  <c:v>22.440338233177236</c:v>
                </c:pt>
                <c:pt idx="10">
                  <c:v>36.86791022196797</c:v>
                </c:pt>
                <c:pt idx="11">
                  <c:v>51.2247759939453</c:v>
                </c:pt>
                <c:pt idx="12">
                  <c:v>65.53921803583464</c:v>
                </c:pt>
                <c:pt idx="13">
                  <c:v>79.75467137418522</c:v>
                </c:pt>
                <c:pt idx="14">
                  <c:v>79.6556826706465</c:v>
                </c:pt>
                <c:pt idx="15">
                  <c:v>-66.45839885440853</c:v>
                </c:pt>
              </c:numCache>
            </c:numRef>
          </c:xVal>
          <c:yVal>
            <c:numRef>
              <c:f>Расчет!$AJ$330:$AJ$345</c:f>
              <c:numCache>
                <c:ptCount val="16"/>
                <c:pt idx="0">
                  <c:v>0.840369983014301</c:v>
                </c:pt>
                <c:pt idx="1">
                  <c:v>2.1225955963974377</c:v>
                </c:pt>
                <c:pt idx="2">
                  <c:v>5.694633995111271</c:v>
                </c:pt>
                <c:pt idx="3">
                  <c:v>7.599779096427029</c:v>
                </c:pt>
                <c:pt idx="4">
                  <c:v>9.358508317645525</c:v>
                </c:pt>
                <c:pt idx="5">
                  <c:v>9.798625287962992</c:v>
                </c:pt>
                <c:pt idx="6">
                  <c:v>8.828294083559008</c:v>
                </c:pt>
                <c:pt idx="7">
                  <c:v>7.088627511125144</c:v>
                </c:pt>
                <c:pt idx="8">
                  <c:v>4.964293254676337</c:v>
                </c:pt>
                <c:pt idx="9">
                  <c:v>2.3270687528742755</c:v>
                </c:pt>
                <c:pt idx="10">
                  <c:v>-0.9512685556193525</c:v>
                </c:pt>
                <c:pt idx="11">
                  <c:v>-4.870718670804546</c:v>
                </c:pt>
                <c:pt idx="12">
                  <c:v>-9.174836470004687</c:v>
                </c:pt>
                <c:pt idx="13">
                  <c:v>-14.376512198573018</c:v>
                </c:pt>
                <c:pt idx="14">
                  <c:v>-15.274070127941211</c:v>
                </c:pt>
                <c:pt idx="15">
                  <c:v>0.840369983014301</c:v>
                </c:pt>
              </c:numCache>
            </c:numRef>
          </c:yVal>
          <c:smooth val="1"/>
        </c:ser>
        <c:axId val="43624279"/>
        <c:axId val="57074192"/>
      </c:scatterChart>
      <c:valAx>
        <c:axId val="43624279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57074192"/>
        <c:crossesAt val="0"/>
        <c:crossBetween val="midCat"/>
        <c:dispUnits/>
        <c:majorUnit val="10"/>
        <c:minorUnit val="4"/>
      </c:valAx>
      <c:valAx>
        <c:axId val="57074192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43624279"/>
        <c:crossesAt val="0"/>
        <c:crossBetween val="midCat"/>
        <c:dispUnits/>
        <c:majorUnit val="10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Передняя кромка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Расчет!$W$34:$W$45</c:f>
              <c:numCache>
                <c:ptCount val="12"/>
                <c:pt idx="2">
                  <c:v>100</c:v>
                </c:pt>
                <c:pt idx="3">
                  <c:v>140</c:v>
                </c:pt>
                <c:pt idx="4">
                  <c:v>210</c:v>
                </c:pt>
                <c:pt idx="5">
                  <c:v>280</c:v>
                </c:pt>
                <c:pt idx="6">
                  <c:v>350</c:v>
                </c:pt>
                <c:pt idx="7">
                  <c:v>420</c:v>
                </c:pt>
                <c:pt idx="8">
                  <c:v>489.99999999999994</c:v>
                </c:pt>
                <c:pt idx="9">
                  <c:v>560</c:v>
                </c:pt>
                <c:pt idx="10">
                  <c:v>630</c:v>
                </c:pt>
                <c:pt idx="11">
                  <c:v>700</c:v>
                </c:pt>
              </c:numCache>
            </c:numRef>
          </c:xVal>
          <c:yVal>
            <c:numRef>
              <c:f>Расчет!$X$34:$X$45</c:f>
              <c:numCache>
                <c:ptCount val="12"/>
                <c:pt idx="2">
                  <c:v>55.25178344025366</c:v>
                </c:pt>
                <c:pt idx="3">
                  <c:v>58.570632852893446</c:v>
                </c:pt>
                <c:pt idx="4">
                  <c:v>62.252055665322686</c:v>
                </c:pt>
                <c:pt idx="5">
                  <c:v>65.56281033928146</c:v>
                </c:pt>
                <c:pt idx="6">
                  <c:v>67.59486516423294</c:v>
                </c:pt>
                <c:pt idx="7">
                  <c:v>68.97513694085467</c:v>
                </c:pt>
                <c:pt idx="8">
                  <c:v>68.61544418636389</c:v>
                </c:pt>
                <c:pt idx="9">
                  <c:v>67.79592873783686</c:v>
                </c:pt>
                <c:pt idx="10">
                  <c:v>67.28921739141788</c:v>
                </c:pt>
                <c:pt idx="11">
                  <c:v>66.45839885440853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Расчет!$W$34:$W$45</c:f>
              <c:numCache>
                <c:ptCount val="12"/>
                <c:pt idx="2">
                  <c:v>100</c:v>
                </c:pt>
                <c:pt idx="3">
                  <c:v>140</c:v>
                </c:pt>
                <c:pt idx="4">
                  <c:v>210</c:v>
                </c:pt>
                <c:pt idx="5">
                  <c:v>280</c:v>
                </c:pt>
                <c:pt idx="6">
                  <c:v>350</c:v>
                </c:pt>
                <c:pt idx="7">
                  <c:v>420</c:v>
                </c:pt>
                <c:pt idx="8">
                  <c:v>489.99999999999994</c:v>
                </c:pt>
                <c:pt idx="9">
                  <c:v>560</c:v>
                </c:pt>
                <c:pt idx="10">
                  <c:v>630</c:v>
                </c:pt>
                <c:pt idx="11">
                  <c:v>700</c:v>
                </c:pt>
              </c:numCache>
            </c:numRef>
          </c:xVal>
          <c:yVal>
            <c:numRef>
              <c:f>Расчет!$Z$34:$Z$45</c:f>
              <c:numCache>
                <c:ptCount val="12"/>
                <c:pt idx="2">
                  <c:v>-58.51446900391291</c:v>
                </c:pt>
                <c:pt idx="3">
                  <c:v>-60.8684313232698</c:v>
                </c:pt>
                <c:pt idx="4">
                  <c:v>-64.19656543331463</c:v>
                </c:pt>
                <c:pt idx="5">
                  <c:v>-67.52002680232748</c:v>
                </c:pt>
                <c:pt idx="6">
                  <c:v>-73.01339270454332</c:v>
                </c:pt>
                <c:pt idx="7">
                  <c:v>-77.35080387454661</c:v>
                </c:pt>
                <c:pt idx="8">
                  <c:v>-79.19510788657959</c:v>
                </c:pt>
                <c:pt idx="9">
                  <c:v>-79.66506518099533</c:v>
                </c:pt>
                <c:pt idx="10">
                  <c:v>-80.04965776130943</c:v>
                </c:pt>
                <c:pt idx="11">
                  <c:v>-79.75467137418522</c:v>
                </c:pt>
              </c:numCache>
            </c:numRef>
          </c:yVal>
          <c:smooth val="1"/>
        </c:ser>
        <c:axId val="43905681"/>
        <c:axId val="59606810"/>
      </c:scatterChart>
      <c:valAx>
        <c:axId val="43905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At val="0"/>
        <c:crossBetween val="midCat"/>
        <c:dispUnits/>
        <c:majorUnit val="70"/>
        <c:minorUnit val="20"/>
      </c:valAx>
      <c:valAx>
        <c:axId val="59606810"/>
        <c:scaling>
          <c:orientation val="minMax"/>
          <c:max val="70"/>
          <c:min val="-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05681"/>
        <c:crossesAt val="0"/>
        <c:crossBetween val="midCat"/>
        <c:dispUnits/>
        <c:majorUnit val="10"/>
        <c:minorUnit val="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Изменение толщины по радиусу</a:t>
            </a:r>
          </a:p>
        </c:rich>
      </c:tx>
      <c:layout>
        <c:manualLayout>
          <c:xMode val="factor"/>
          <c:yMode val="factor"/>
          <c:x val="0.0157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9525"/>
          <c:w val="0.71"/>
          <c:h val="0.3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Расчет!$Q$36:$Q$46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Расчет!$R$36:$R$46</c:f>
              <c:numCache>
                <c:ptCount val="11"/>
                <c:pt idx="0">
                  <c:v>40.1</c:v>
                </c:pt>
                <c:pt idx="1">
                  <c:v>36.4</c:v>
                </c:pt>
                <c:pt idx="2">
                  <c:v>33.5</c:v>
                </c:pt>
                <c:pt idx="3">
                  <c:v>30.6</c:v>
                </c:pt>
                <c:pt idx="4">
                  <c:v>27.6</c:v>
                </c:pt>
                <c:pt idx="5">
                  <c:v>24.7</c:v>
                </c:pt>
                <c:pt idx="6">
                  <c:v>21.7</c:v>
                </c:pt>
                <c:pt idx="7">
                  <c:v>20.3</c:v>
                </c:pt>
                <c:pt idx="8">
                  <c:v>18.8</c:v>
                </c:pt>
                <c:pt idx="9">
                  <c:v>15.9</c:v>
                </c:pt>
                <c:pt idx="10">
                  <c:v>12.9</c:v>
                </c:pt>
              </c:numCache>
            </c:numRef>
          </c:yVal>
          <c:smooth val="1"/>
        </c:ser>
        <c:axId val="66699243"/>
        <c:axId val="63422276"/>
      </c:scatterChart>
      <c:valAx>
        <c:axId val="6669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Радиус, мм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crossBetween val="midCat"/>
        <c:dispUnits/>
        <c:majorUnit val="70"/>
        <c:minorUnit val="14"/>
      </c:valAx>
      <c:valAx>
        <c:axId val="6342227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Толщина профиля, мм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924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Зависимость угла от радиуса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925"/>
          <c:w val="0.874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Расчет!$C$36:$C$46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Расчет!$D$36:$D$46</c:f>
              <c:numCache>
                <c:ptCount val="11"/>
                <c:pt idx="0">
                  <c:v>100</c:v>
                </c:pt>
                <c:pt idx="1">
                  <c:v>94.87461216609125</c:v>
                </c:pt>
                <c:pt idx="2">
                  <c:v>43.383739933531615</c:v>
                </c:pt>
                <c:pt idx="3">
                  <c:v>24.324853149959623</c:v>
                </c:pt>
                <c:pt idx="4">
                  <c:v>15.309443898387295</c:v>
                </c:pt>
                <c:pt idx="5">
                  <c:v>10.359434012862462</c:v>
                </c:pt>
                <c:pt idx="6">
                  <c:v>7.35655240656003</c:v>
                </c:pt>
                <c:pt idx="7">
                  <c:v>6.281419413371995</c:v>
                </c:pt>
                <c:pt idx="8">
                  <c:v>5.40019125874267</c:v>
                </c:pt>
                <c:pt idx="9">
                  <c:v>4.05554566524501</c:v>
                </c:pt>
                <c:pt idx="10">
                  <c:v>3.0920409292988635</c:v>
                </c:pt>
              </c:numCache>
            </c:numRef>
          </c:yVal>
          <c:smooth val="1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Расчет!$C$36:$C$46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Расчет!$E$36:$E$46</c:f>
              <c:numCache>
                <c:ptCount val="11"/>
                <c:pt idx="0">
                  <c:v>21.385443866084955</c:v>
                </c:pt>
                <c:pt idx="1">
                  <c:v>15.627114241052444</c:v>
                </c:pt>
                <c:pt idx="2">
                  <c:v>10.562989534367055</c:v>
                </c:pt>
                <c:pt idx="3">
                  <c:v>7.961586168555928</c:v>
                </c:pt>
                <c:pt idx="4">
                  <c:v>6.384029069864944</c:v>
                </c:pt>
                <c:pt idx="5">
                  <c:v>5.326748899221893</c:v>
                </c:pt>
                <c:pt idx="6">
                  <c:v>4.569272980397453</c:v>
                </c:pt>
                <c:pt idx="7">
                  <c:v>4.265818972040198</c:v>
                </c:pt>
                <c:pt idx="8">
                  <c:v>4.000099338783071</c:v>
                </c:pt>
                <c:pt idx="9">
                  <c:v>3.5568556712912502</c:v>
                </c:pt>
                <c:pt idx="10">
                  <c:v>3.2019510488483456</c:v>
                </c:pt>
              </c:numCache>
            </c:numRef>
          </c:yVal>
          <c:smooth val="1"/>
        </c:ser>
        <c:ser>
          <c:idx val="2"/>
          <c:order val="2"/>
          <c:tx>
            <c:v>j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Расчет!$C$36:$C$46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Расчет!$F$36:$F$46</c:f>
              <c:numCache>
                <c:ptCount val="11"/>
                <c:pt idx="0">
                  <c:v>33.45434285962116</c:v>
                </c:pt>
                <c:pt idx="1">
                  <c:v>30.92157609813131</c:v>
                </c:pt>
                <c:pt idx="2">
                  <c:v>27.122425955896546</c:v>
                </c:pt>
                <c:pt idx="3">
                  <c:v>23.32327581366178</c:v>
                </c:pt>
                <c:pt idx="4">
                  <c:v>19.524125671427015</c:v>
                </c:pt>
                <c:pt idx="5">
                  <c:v>15.686182912084355</c:v>
                </c:pt>
                <c:pt idx="6">
                  <c:v>11.925825386957483</c:v>
                </c:pt>
                <c:pt idx="7">
                  <c:v>10.547238385412193</c:v>
                </c:pt>
                <c:pt idx="8">
                  <c:v>9.400290597525741</c:v>
                </c:pt>
                <c:pt idx="9">
                  <c:v>7.61240133653626</c:v>
                </c:pt>
                <c:pt idx="10">
                  <c:v>6.29399197814721</c:v>
                </c:pt>
              </c:numCache>
            </c:numRef>
          </c:yVal>
          <c:smooth val="1"/>
        </c:ser>
        <c:axId val="33929573"/>
        <c:axId val="36930702"/>
      </c:scatterChart>
      <c:valAx>
        <c:axId val="339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Радиус, мм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 val="autoZero"/>
        <c:crossBetween val="midCat"/>
        <c:dispUnits/>
        <c:majorUnit val="70"/>
      </c:valAx>
      <c:valAx>
        <c:axId val="3693070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Угол, град.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957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95"/>
          <c:y val="0.0915"/>
          <c:w val="0.153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8"/>
          <c:w val="0.73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v>расчетный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Расчет!$A$36:$A$46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Расчет!$B$36:$B$46</c:f>
              <c:numCache>
                <c:ptCount val="11"/>
                <c:pt idx="0">
                  <c:v>415.1161403846078</c:v>
                </c:pt>
                <c:pt idx="1">
                  <c:v>526.8592831767015</c:v>
                </c:pt>
                <c:pt idx="2">
                  <c:v>675.7995290264221</c:v>
                </c:pt>
                <c:pt idx="3">
                  <c:v>758.4549937100253</c:v>
                </c:pt>
                <c:pt idx="4">
                  <c:v>779.7268811297787</c:v>
                </c:pt>
                <c:pt idx="5">
                  <c:v>741.0273089401369</c:v>
                </c:pt>
                <c:pt idx="6">
                  <c:v>650.1962848331164</c:v>
                </c:pt>
                <c:pt idx="7">
                  <c:v>614.1394683609851</c:v>
                </c:pt>
                <c:pt idx="8">
                  <c:v>582.4719236908892</c:v>
                </c:pt>
                <c:pt idx="9">
                  <c:v>528.9964010998871</c:v>
                </c:pt>
                <c:pt idx="10">
                  <c:v>485.0658384988998</c:v>
                </c:pt>
              </c:numCache>
            </c:numRef>
          </c:yVal>
          <c:smooth val="1"/>
        </c:ser>
        <c:ser>
          <c:idx val="1"/>
          <c:order val="1"/>
          <c:tx>
            <c:v>крутка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Расчет!$D$57:$D$67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Расчет!$E$57:$E$67</c:f>
              <c:numCache>
                <c:ptCount val="11"/>
                <c:pt idx="0">
                  <c:v>415.1161403846078</c:v>
                </c:pt>
                <c:pt idx="1">
                  <c:v>526.8592831767015</c:v>
                </c:pt>
                <c:pt idx="2">
                  <c:v>675.7995290264221</c:v>
                </c:pt>
                <c:pt idx="3">
                  <c:v>758.4549937100253</c:v>
                </c:pt>
                <c:pt idx="4">
                  <c:v>779.7268811297787</c:v>
                </c:pt>
                <c:pt idx="5">
                  <c:v>741.0273089401369</c:v>
                </c:pt>
                <c:pt idx="6">
                  <c:v>650.1962848331164</c:v>
                </c:pt>
                <c:pt idx="7">
                  <c:v>614.1394683609851</c:v>
                </c:pt>
                <c:pt idx="8">
                  <c:v>582.4719236908892</c:v>
                </c:pt>
                <c:pt idx="9">
                  <c:v>528.9964010998871</c:v>
                </c:pt>
                <c:pt idx="10">
                  <c:v>485.0658384988998</c:v>
                </c:pt>
              </c:numCache>
            </c:numRef>
          </c:yVal>
          <c:smooth val="1"/>
        </c:ser>
        <c:axId val="63940863"/>
        <c:axId val="38596856"/>
      </c:scatterChart>
      <c:val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Радиус 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R, 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 val="autoZero"/>
        <c:crossBetween val="midCat"/>
        <c:dispUnits/>
        <c:majorUnit val="100"/>
      </c:valAx>
      <c:valAx>
        <c:axId val="38596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Шаг плоской стороны лопасти, мм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37"/>
          <c:w val="0.174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R=0.2
RAF-6M</a:t>
            </a:r>
          </a:p>
        </c:rich>
      </c:tx>
      <c:layout>
        <c:manualLayout>
          <c:xMode val="factor"/>
          <c:yMode val="factor"/>
          <c:x val="0.14425"/>
          <c:y val="0.1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47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Расчет!$AI$112:$AI$140</c:f>
              <c:numCache>
                <c:ptCount val="29"/>
                <c:pt idx="0">
                  <c:v>-58.570632852893446</c:v>
                </c:pt>
                <c:pt idx="1">
                  <c:v>-56.7002907830582</c:v>
                </c:pt>
                <c:pt idx="2">
                  <c:v>-49.85960398655777</c:v>
                </c:pt>
                <c:pt idx="3">
                  <c:v>-44.35516277145397</c:v>
                </c:pt>
                <c:pt idx="4">
                  <c:v>-35.49386671988041</c:v>
                </c:pt>
                <c:pt idx="5">
                  <c:v>-21.181245182070747</c:v>
                </c:pt>
                <c:pt idx="6">
                  <c:v>-8.406651660377474</c:v>
                </c:pt>
                <c:pt idx="7">
                  <c:v>3.292425124548762</c:v>
                </c:pt>
                <c:pt idx="8">
                  <c:v>14.47231076279043</c:v>
                </c:pt>
                <c:pt idx="9">
                  <c:v>25.142277009399283</c:v>
                </c:pt>
                <c:pt idx="10">
                  <c:v>35.210655207157274</c:v>
                </c:pt>
                <c:pt idx="11">
                  <c:v>44.60033225239139</c:v>
                </c:pt>
                <c:pt idx="12">
                  <c:v>53.33551876804791</c:v>
                </c:pt>
                <c:pt idx="13">
                  <c:v>60.8684313232698</c:v>
                </c:pt>
                <c:pt idx="14">
                  <c:v>59.818447210797935</c:v>
                </c:pt>
                <c:pt idx="15">
                  <c:v>59.55919187438513</c:v>
                </c:pt>
                <c:pt idx="16">
                  <c:v>46.78932152362455</c:v>
                </c:pt>
                <c:pt idx="17">
                  <c:v>34.12641666131401</c:v>
                </c:pt>
                <c:pt idx="18">
                  <c:v>21.370123890376448</c:v>
                </c:pt>
                <c:pt idx="19">
                  <c:v>8.870301001832638</c:v>
                </c:pt>
                <c:pt idx="20">
                  <c:v>-3.2959389006444137</c:v>
                </c:pt>
                <c:pt idx="21">
                  <c:v>-15.22396136682018</c:v>
                </c:pt>
                <c:pt idx="22">
                  <c:v>-27.11007235872994</c:v>
                </c:pt>
                <c:pt idx="23">
                  <c:v>-38.94949484550559</c:v>
                </c:pt>
                <c:pt idx="24">
                  <c:v>-50.26956907157886</c:v>
                </c:pt>
                <c:pt idx="25">
                  <c:v>-55.390180983481926</c:v>
                </c:pt>
                <c:pt idx="26">
                  <c:v>-57.52800647288228</c:v>
                </c:pt>
                <c:pt idx="27">
                  <c:v>-59.194080209505195</c:v>
                </c:pt>
                <c:pt idx="28">
                  <c:v>-58.570632852893446</c:v>
                </c:pt>
              </c:numCache>
            </c:numRef>
          </c:xVal>
          <c:yVal>
            <c:numRef>
              <c:f>Расчет!$AJ$112:$AJ$140</c:f>
              <c:numCache>
                <c:ptCount val="29"/>
                <c:pt idx="0">
                  <c:v>23.067403405820055</c:v>
                </c:pt>
                <c:pt idx="1">
                  <c:v>26.190129865471043</c:v>
                </c:pt>
                <c:pt idx="2">
                  <c:v>30.897072944815086</c:v>
                </c:pt>
                <c:pt idx="3">
                  <c:v>33.37301801533688</c:v>
                </c:pt>
                <c:pt idx="4">
                  <c:v>34.73929410368615</c:v>
                </c:pt>
                <c:pt idx="5">
                  <c:v>31.77855333534162</c:v>
                </c:pt>
                <c:pt idx="6">
                  <c:v>26.249918244845503</c:v>
                </c:pt>
                <c:pt idx="7">
                  <c:v>18.925598490101958</c:v>
                </c:pt>
                <c:pt idx="8">
                  <c:v>10.734436269738623</c:v>
                </c:pt>
                <c:pt idx="9">
                  <c:v>1.6919117225463811</c:v>
                </c:pt>
                <c:pt idx="10">
                  <c:v>-8.355025305257966</c:v>
                </c:pt>
                <c:pt idx="11">
                  <c:v>-19.53512298926713</c:v>
                </c:pt>
                <c:pt idx="12">
                  <c:v>-31.807959230177232</c:v>
                </c:pt>
                <c:pt idx="13">
                  <c:v>-46.08811422231948</c:v>
                </c:pt>
                <c:pt idx="14">
                  <c:v>-47.84116957145029</c:v>
                </c:pt>
                <c:pt idx="15">
                  <c:v>-48.274022744075175</c:v>
                </c:pt>
                <c:pt idx="16">
                  <c:v>-42.737501838955694</c:v>
                </c:pt>
                <c:pt idx="17">
                  <c:v>-37.02239116331267</c:v>
                </c:pt>
                <c:pt idx="18">
                  <c:v>-31.463201106675292</c:v>
                </c:pt>
                <c:pt idx="19">
                  <c:v>-25.475808476417228</c:v>
                </c:pt>
                <c:pt idx="20">
                  <c:v>-18.93146509694578</c:v>
                </c:pt>
                <c:pt idx="21">
                  <c:v>-11.989393460442841</c:v>
                </c:pt>
                <c:pt idx="22">
                  <c:v>-4.977346351664396</c:v>
                </c:pt>
                <c:pt idx="23">
                  <c:v>2.112651968657218</c:v>
                </c:pt>
                <c:pt idx="24">
                  <c:v>10.06975507244333</c:v>
                </c:pt>
                <c:pt idx="25">
                  <c:v>14.948931903396048</c:v>
                </c:pt>
                <c:pt idx="26">
                  <c:v>18.09389446024603</c:v>
                </c:pt>
                <c:pt idx="27">
                  <c:v>22.02649458593639</c:v>
                </c:pt>
                <c:pt idx="28">
                  <c:v>23.067403405820055</c:v>
                </c:pt>
              </c:numCache>
            </c:numRef>
          </c:yVal>
          <c:smooth val="1"/>
        </c:ser>
        <c:axId val="46213639"/>
        <c:axId val="13269568"/>
      </c:scatterChart>
      <c:valAx>
        <c:axId val="46213639"/>
        <c:scaling>
          <c:orientation val="minMax"/>
          <c:max val="120"/>
          <c:min val="-1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269568"/>
        <c:crossesAt val="0"/>
        <c:crossBetween val="midCat"/>
        <c:dispUnits/>
        <c:majorUnit val="10"/>
        <c:minorUnit val="4"/>
      </c:valAx>
      <c:valAx>
        <c:axId val="13269568"/>
        <c:scaling>
          <c:orientation val="minMax"/>
          <c:max val="50"/>
          <c:min val="-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R=0.3
RAF-6m</a:t>
            </a:r>
          </a:p>
        </c:rich>
      </c:tx>
      <c:layout>
        <c:manualLayout>
          <c:xMode val="factor"/>
          <c:yMode val="factor"/>
          <c:x val="0.0887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725"/>
          <c:h val="0.73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Расчет!$AI$150:$AI$178</c:f>
              <c:numCache>
                <c:ptCount val="29"/>
                <c:pt idx="0">
                  <c:v>-62.252055665322686</c:v>
                </c:pt>
                <c:pt idx="1">
                  <c:v>-60.724917045437536</c:v>
                </c:pt>
                <c:pt idx="2">
                  <c:v>-53.74782682307013</c:v>
                </c:pt>
                <c:pt idx="3">
                  <c:v>-48.24372094722408</c:v>
                </c:pt>
                <c:pt idx="4">
                  <c:v>-39.27870867480988</c:v>
                </c:pt>
                <c:pt idx="5">
                  <c:v>-24.514383555240183</c:v>
                </c:pt>
                <c:pt idx="6">
                  <c:v>-11.188871340511358</c:v>
                </c:pt>
                <c:pt idx="7">
                  <c:v>1.230108005127188</c:v>
                </c:pt>
                <c:pt idx="8">
                  <c:v>13.205624065425935</c:v>
                </c:pt>
                <c:pt idx="9">
                  <c:v>24.68366719778409</c:v>
                </c:pt>
                <c:pt idx="10">
                  <c:v>35.55814310972265</c:v>
                </c:pt>
                <c:pt idx="11">
                  <c:v>45.787812909313224</c:v>
                </c:pt>
                <c:pt idx="12">
                  <c:v>55.50581762693815</c:v>
                </c:pt>
                <c:pt idx="13">
                  <c:v>64.19656543331463</c:v>
                </c:pt>
                <c:pt idx="14">
                  <c:v>63.24504060092465</c:v>
                </c:pt>
                <c:pt idx="15">
                  <c:v>63.12756839939503</c:v>
                </c:pt>
                <c:pt idx="16">
                  <c:v>50.16083245734013</c:v>
                </c:pt>
                <c:pt idx="17">
                  <c:v>37.23583663795638</c:v>
                </c:pt>
                <c:pt idx="18">
                  <c:v>24.25731732257254</c:v>
                </c:pt>
                <c:pt idx="19">
                  <c:v>11.39756120478328</c:v>
                </c:pt>
                <c:pt idx="20">
                  <c:v>-1.302192823482991</c:v>
                </c:pt>
                <c:pt idx="21">
                  <c:v>-13.888564331735797</c:v>
                </c:pt>
                <c:pt idx="22">
                  <c:v>-26.46025753936286</c:v>
                </c:pt>
                <c:pt idx="23">
                  <c:v>-39.022200444149114</c:v>
                </c:pt>
                <c:pt idx="24">
                  <c:v>-51.34310377190256</c:v>
                </c:pt>
                <c:pt idx="25">
                  <c:v>-57.25383880454646</c:v>
                </c:pt>
                <c:pt idx="26">
                  <c:v>-60.009095164599245</c:v>
                </c:pt>
                <c:pt idx="27">
                  <c:v>-62.76110187195107</c:v>
                </c:pt>
                <c:pt idx="28">
                  <c:v>-62.252055665322686</c:v>
                </c:pt>
              </c:numCache>
            </c:numRef>
          </c:xVal>
          <c:yVal>
            <c:numRef>
              <c:f>Расчет!$AJ$150:$AJ$178</c:f>
              <c:numCache>
                <c:ptCount val="29"/>
                <c:pt idx="0">
                  <c:v>17.642472028502176</c:v>
                </c:pt>
                <c:pt idx="1">
                  <c:v>20.624140627735713</c:v>
                </c:pt>
                <c:pt idx="2">
                  <c:v>26.513992873584037</c:v>
                </c:pt>
                <c:pt idx="3">
                  <c:v>29.527910272394298</c:v>
                </c:pt>
                <c:pt idx="4">
                  <c:v>31.56649114767519</c:v>
                </c:pt>
                <c:pt idx="5">
                  <c:v>29.462768957514257</c:v>
                </c:pt>
                <c:pt idx="6">
                  <c:v>24.549830103800797</c:v>
                </c:pt>
                <c:pt idx="7">
                  <c:v>17.866927112749966</c:v>
                </c:pt>
                <c:pt idx="8">
                  <c:v>10.318182255353005</c:v>
                </c:pt>
                <c:pt idx="9">
                  <c:v>1.7981441643917133</c:v>
                </c:pt>
                <c:pt idx="10">
                  <c:v>-7.900331433956524</c:v>
                </c:pt>
                <c:pt idx="11">
                  <c:v>-18.857761597887304</c:v>
                </c:pt>
                <c:pt idx="12">
                  <c:v>-30.814194529710868</c:v>
                </c:pt>
                <c:pt idx="13">
                  <c:v>-44.776299792606395</c:v>
                </c:pt>
                <c:pt idx="14">
                  <c:v>-46.63410868905191</c:v>
                </c:pt>
                <c:pt idx="15">
                  <c:v>-46.86346781206987</c:v>
                </c:pt>
                <c:pt idx="16">
                  <c:v>-41.25003462702824</c:v>
                </c:pt>
                <c:pt idx="17">
                  <c:v>-35.555105753595114</c:v>
                </c:pt>
                <c:pt idx="18">
                  <c:v>-29.964679068284696</c:v>
                </c:pt>
                <c:pt idx="19">
                  <c:v>-24.142372648940054</c:v>
                </c:pt>
                <c:pt idx="20">
                  <c:v>-18.00766943736559</c:v>
                </c:pt>
                <c:pt idx="21">
                  <c:v>-11.651592019662038</c:v>
                </c:pt>
                <c:pt idx="22">
                  <c:v>-5.266855888534568</c:v>
                </c:pt>
                <c:pt idx="23">
                  <c:v>1.1369172647956596</c:v>
                </c:pt>
                <c:pt idx="24">
                  <c:v>8.011309213730254</c:v>
                </c:pt>
                <c:pt idx="25">
                  <c:v>11.936065536916436</c:v>
                </c:pt>
                <c:pt idx="26">
                  <c:v>14.28915161672654</c:v>
                </c:pt>
                <c:pt idx="27">
                  <c:v>16.64858249542433</c:v>
                </c:pt>
                <c:pt idx="28">
                  <c:v>17.642472028502176</c:v>
                </c:pt>
              </c:numCache>
            </c:numRef>
          </c:yVal>
          <c:smooth val="1"/>
        </c:ser>
        <c:axId val="52317249"/>
        <c:axId val="1093194"/>
      </c:scatterChart>
      <c:valAx>
        <c:axId val="52317249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93194"/>
        <c:crossesAt val="0"/>
        <c:crossBetween val="midCat"/>
        <c:dispUnits/>
        <c:majorUnit val="10"/>
        <c:minorUnit val="2"/>
      </c:valAx>
      <c:valAx>
        <c:axId val="1093194"/>
        <c:scaling>
          <c:orientation val="minMax"/>
          <c:max val="5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R=0.4
RAF-6</a:t>
            </a:r>
          </a:p>
        </c:rich>
      </c:tx>
      <c:layout>
        <c:manualLayout>
          <c:xMode val="factor"/>
          <c:yMode val="factor"/>
          <c:x val="0.0887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5"/>
          <c:h val="0.67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Расчет!$AI$193:$AI$208</c:f>
              <c:numCache>
                <c:ptCount val="16"/>
                <c:pt idx="0">
                  <c:v>-65.56281033928146</c:v>
                </c:pt>
                <c:pt idx="1">
                  <c:v>-64.35138373830868</c:v>
                </c:pt>
                <c:pt idx="2">
                  <c:v>-57.29009031226989</c:v>
                </c:pt>
                <c:pt idx="3">
                  <c:v>-51.8036514674957</c:v>
                </c:pt>
                <c:pt idx="4">
                  <c:v>-42.76905633950376</c:v>
                </c:pt>
                <c:pt idx="5">
                  <c:v>-27.607289925854527</c:v>
                </c:pt>
                <c:pt idx="6">
                  <c:v>-13.778092773275333</c:v>
                </c:pt>
                <c:pt idx="7">
                  <c:v>-0.6757515812798127</c:v>
                </c:pt>
                <c:pt idx="8">
                  <c:v>12.063161630423878</c:v>
                </c:pt>
                <c:pt idx="9">
                  <c:v>24.317504201738465</c:v>
                </c:pt>
                <c:pt idx="10">
                  <c:v>35.96613347256665</c:v>
                </c:pt>
                <c:pt idx="11">
                  <c:v>47.00904944290847</c:v>
                </c:pt>
                <c:pt idx="12">
                  <c:v>57.68853743295844</c:v>
                </c:pt>
                <c:pt idx="13">
                  <c:v>67.52002680232748</c:v>
                </c:pt>
                <c:pt idx="14">
                  <c:v>66.67202818164654</c:v>
                </c:pt>
                <c:pt idx="15">
                  <c:v>-65.56281033928146</c:v>
                </c:pt>
              </c:numCache>
            </c:numRef>
          </c:xVal>
          <c:yVal>
            <c:numRef>
              <c:f>Расчет!$AJ$193:$AJ$208</c:f>
              <c:numCache>
                <c:ptCount val="16"/>
                <c:pt idx="0">
                  <c:v>11.603788192457163</c:v>
                </c:pt>
                <c:pt idx="1">
                  <c:v>14.413778511026884</c:v>
                </c:pt>
                <c:pt idx="2">
                  <c:v>21.699540732742694</c:v>
                </c:pt>
                <c:pt idx="3">
                  <c:v>25.33231554031787</c:v>
                </c:pt>
                <c:pt idx="4">
                  <c:v>28.10188064575667</c:v>
                </c:pt>
                <c:pt idx="5">
                  <c:v>26.897034092066942</c:v>
                </c:pt>
                <c:pt idx="6">
                  <c:v>22.60119818795052</c:v>
                </c:pt>
                <c:pt idx="7">
                  <c:v>16.619368092692266</c:v>
                </c:pt>
                <c:pt idx="8">
                  <c:v>9.794540901863098</c:v>
                </c:pt>
                <c:pt idx="9">
                  <c:v>1.8457175836060422</c:v>
                </c:pt>
                <c:pt idx="10">
                  <c:v>-7.5081008939358735</c:v>
                </c:pt>
                <c:pt idx="11">
                  <c:v>-18.26691453076265</c:v>
                </c:pt>
                <c:pt idx="12">
                  <c:v>-29.868725263160343</c:v>
                </c:pt>
                <c:pt idx="13">
                  <c:v>-43.43752921855684</c:v>
                </c:pt>
                <c:pt idx="14">
                  <c:v>-45.40452244155564</c:v>
                </c:pt>
                <c:pt idx="15">
                  <c:v>11.603788192457163</c:v>
                </c:pt>
              </c:numCache>
            </c:numRef>
          </c:yVal>
          <c:smooth val="1"/>
        </c:ser>
        <c:axId val="9838747"/>
        <c:axId val="21439860"/>
      </c:scatterChart>
      <c:valAx>
        <c:axId val="9838747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39860"/>
        <c:crossesAt val="0"/>
        <c:crossBetween val="midCat"/>
        <c:dispUnits/>
        <c:majorUnit val="10"/>
        <c:minorUnit val="10"/>
      </c:valAx>
      <c:valAx>
        <c:axId val="21439860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747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R=0.5</a:t>
            </a:r>
          </a:p>
        </c:rich>
      </c:tx>
      <c:layout>
        <c:manualLayout>
          <c:xMode val="factor"/>
          <c:yMode val="factor"/>
          <c:x val="0.086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55"/>
          <c:h val="0.66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Расчет!$AI$216:$AI$231</c:f>
              <c:numCache>
                <c:ptCount val="16"/>
                <c:pt idx="0">
                  <c:v>-67.59486516423294</c:v>
                </c:pt>
                <c:pt idx="1">
                  <c:v>-66.6725281048341</c:v>
                </c:pt>
                <c:pt idx="2">
                  <c:v>-60.31421767251773</c:v>
                </c:pt>
                <c:pt idx="3">
                  <c:v>-55.15494541741987</c:v>
                </c:pt>
                <c:pt idx="4">
                  <c:v>-46.312140202262306</c:v>
                </c:pt>
                <c:pt idx="5">
                  <c:v>-30.840138714504427</c:v>
                </c:pt>
                <c:pt idx="6">
                  <c:v>-16.382707992085304</c:v>
                </c:pt>
                <c:pt idx="7">
                  <c:v>-2.478679505305479</c:v>
                </c:pt>
                <c:pt idx="8">
                  <c:v>11.148647863654688</c:v>
                </c:pt>
                <c:pt idx="9">
                  <c:v>24.40704040885531</c:v>
                </c:pt>
                <c:pt idx="10">
                  <c:v>37.20426442435651</c:v>
                </c:pt>
                <c:pt idx="11">
                  <c:v>49.54031991015828</c:v>
                </c:pt>
                <c:pt idx="12">
                  <c:v>61.599674278140405</c:v>
                </c:pt>
                <c:pt idx="13">
                  <c:v>73.01339270454332</c:v>
                </c:pt>
                <c:pt idx="14">
                  <c:v>72.36775676296412</c:v>
                </c:pt>
                <c:pt idx="15">
                  <c:v>-67.59486516423294</c:v>
                </c:pt>
              </c:numCache>
            </c:numRef>
          </c:xVal>
          <c:yVal>
            <c:numRef>
              <c:f>Расчет!$AJ$216:$AJ$231</c:f>
              <c:numCache>
                <c:ptCount val="16"/>
                <c:pt idx="0">
                  <c:v>9.324957288329369</c:v>
                </c:pt>
                <c:pt idx="1">
                  <c:v>11.926282786774243</c:v>
                </c:pt>
                <c:pt idx="2">
                  <c:v>18.749748233033706</c:v>
                </c:pt>
                <c:pt idx="3">
                  <c:v>22.191490531314834</c:v>
                </c:pt>
                <c:pt idx="4">
                  <c:v>24.912854330365274</c:v>
                </c:pt>
                <c:pt idx="5">
                  <c:v>24.11240073219846</c:v>
                </c:pt>
                <c:pt idx="6">
                  <c:v>20.45048908574229</c:v>
                </c:pt>
                <c:pt idx="7">
                  <c:v>15.227782140219194</c:v>
                </c:pt>
                <c:pt idx="8">
                  <c:v>9.224677545162631</c:v>
                </c:pt>
                <c:pt idx="9">
                  <c:v>2.1810427507281283</c:v>
                </c:pt>
                <c:pt idx="10">
                  <c:v>-6.163254792928825</c:v>
                </c:pt>
                <c:pt idx="11">
                  <c:v>-15.808215085808207</c:v>
                </c:pt>
                <c:pt idx="12">
                  <c:v>-26.233573028221056</c:v>
                </c:pt>
                <c:pt idx="13">
                  <c:v>-38.47985881954531</c:v>
                </c:pt>
                <c:pt idx="14">
                  <c:v>-40.30078666845672</c:v>
                </c:pt>
                <c:pt idx="15">
                  <c:v>9.324957288329369</c:v>
                </c:pt>
              </c:numCache>
            </c:numRef>
          </c:yVal>
          <c:smooth val="1"/>
        </c:ser>
        <c:axId val="58741013"/>
        <c:axId val="58907070"/>
      </c:scatterChart>
      <c:valAx>
        <c:axId val="58741013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07070"/>
        <c:crossesAt val="0"/>
        <c:crossBetween val="midCat"/>
        <c:dispUnits/>
        <c:majorUnit val="10"/>
        <c:minorUnit val="10"/>
      </c:valAx>
      <c:valAx>
        <c:axId val="58907070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R=0.6</a:t>
            </a:r>
          </a:p>
        </c:rich>
      </c:tx>
      <c:layout>
        <c:manualLayout>
          <c:xMode val="factor"/>
          <c:yMode val="factor"/>
          <c:x val="0.087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5"/>
          <c:h val="0.67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Расчет!$AI$239:$AI$254</c:f>
              <c:numCache>
                <c:ptCount val="16"/>
                <c:pt idx="0">
                  <c:v>-68.97513694085467</c:v>
                </c:pt>
                <c:pt idx="1">
                  <c:v>-68.30737523884312</c:v>
                </c:pt>
                <c:pt idx="2">
                  <c:v>-62.59085127200751</c:v>
                </c:pt>
                <c:pt idx="3">
                  <c:v>-57.74241751778688</c:v>
                </c:pt>
                <c:pt idx="4">
                  <c:v>-49.113968732564146</c:v>
                </c:pt>
                <c:pt idx="5">
                  <c:v>-33.45969924694634</c:v>
                </c:pt>
                <c:pt idx="6">
                  <c:v>-18.539967633541245</c:v>
                </c:pt>
                <c:pt idx="7">
                  <c:v>-4.020893041343081</c:v>
                </c:pt>
                <c:pt idx="8">
                  <c:v>10.29785304025162</c:v>
                </c:pt>
                <c:pt idx="9">
                  <c:v>24.349494441041713</c:v>
                </c:pt>
                <c:pt idx="10">
                  <c:v>38.067254990826015</c:v>
                </c:pt>
                <c:pt idx="11">
                  <c:v>51.45113468960455</c:v>
                </c:pt>
                <c:pt idx="12">
                  <c:v>64.63468587777962</c:v>
                </c:pt>
                <c:pt idx="13">
                  <c:v>77.35080387454661</c:v>
                </c:pt>
                <c:pt idx="14">
                  <c:v>76.88337068313854</c:v>
                </c:pt>
                <c:pt idx="15">
                  <c:v>-68.97513694085467</c:v>
                </c:pt>
              </c:numCache>
            </c:numRef>
          </c:xVal>
          <c:yVal>
            <c:numRef>
              <c:f>Расчет!$AJ$239:$AJ$254</c:f>
              <c:numCache>
                <c:ptCount val="16"/>
                <c:pt idx="0">
                  <c:v>6.540918054091815</c:v>
                </c:pt>
                <c:pt idx="1">
                  <c:v>8.918941247697514</c:v>
                </c:pt>
                <c:pt idx="2">
                  <c:v>15.266866813312939</c:v>
                </c:pt>
                <c:pt idx="3">
                  <c:v>18.523362227240952</c:v>
                </c:pt>
                <c:pt idx="4">
                  <c:v>21.23151594532787</c:v>
                </c:pt>
                <c:pt idx="5">
                  <c:v>20.940567716848033</c:v>
                </c:pt>
                <c:pt idx="6">
                  <c:v>18.033793975401924</c:v>
                </c:pt>
                <c:pt idx="7">
                  <c:v>13.700206317792393</c:v>
                </c:pt>
                <c:pt idx="8">
                  <c:v>8.653211702101162</c:v>
                </c:pt>
                <c:pt idx="9">
                  <c:v>2.655007808967645</c:v>
                </c:pt>
                <c:pt idx="10">
                  <c:v>-4.5322076809687175</c:v>
                </c:pt>
                <c:pt idx="11">
                  <c:v>-12.90843476770793</c:v>
                </c:pt>
                <c:pt idx="12">
                  <c:v>-21.99806881252885</c:v>
                </c:pt>
                <c:pt idx="13">
                  <c:v>-32.75231909287376</c:v>
                </c:pt>
                <c:pt idx="14">
                  <c:v>-34.416935328397756</c:v>
                </c:pt>
                <c:pt idx="15">
                  <c:v>6.540918054091815</c:v>
                </c:pt>
              </c:numCache>
            </c:numRef>
          </c:yVal>
          <c:smooth val="1"/>
        </c:ser>
        <c:axId val="60401583"/>
        <c:axId val="6743336"/>
      </c:scatterChart>
      <c:valAx>
        <c:axId val="60401583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43336"/>
        <c:crossesAt val="0"/>
        <c:crossBetween val="midCat"/>
        <c:dispUnits/>
        <c:majorUnit val="10"/>
        <c:minorUnit val="10"/>
      </c:valAx>
      <c:valAx>
        <c:axId val="6743336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R=0.7</a:t>
            </a:r>
          </a:p>
        </c:rich>
      </c:tx>
      <c:layout>
        <c:manualLayout>
          <c:xMode val="factor"/>
          <c:yMode val="factor"/>
          <c:x val="0.086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55"/>
          <c:h val="0.66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Расчет!$AI$261:$AI$276</c:f>
              <c:numCache>
                <c:ptCount val="16"/>
                <c:pt idx="0">
                  <c:v>-68.61544418636389</c:v>
                </c:pt>
                <c:pt idx="1">
                  <c:v>-68.16705661890619</c:v>
                </c:pt>
                <c:pt idx="2">
                  <c:v>-63.08963814039425</c:v>
                </c:pt>
                <c:pt idx="3">
                  <c:v>-58.5951234995773</c:v>
                </c:pt>
                <c:pt idx="4">
                  <c:v>-50.323514325875756</c:v>
                </c:pt>
                <c:pt idx="5">
                  <c:v>-34.856426140371134</c:v>
                </c:pt>
                <c:pt idx="6">
                  <c:v>-19.882564279069967</c:v>
                </c:pt>
                <c:pt idx="7">
                  <c:v>-5.1777349582434296</c:v>
                </c:pt>
                <c:pt idx="8">
                  <c:v>9.392578092345797</c:v>
                </c:pt>
                <c:pt idx="9">
                  <c:v>23.78353611595195</c:v>
                </c:pt>
                <c:pt idx="10">
                  <c:v>37.95030035582924</c:v>
                </c:pt>
                <c:pt idx="11">
                  <c:v>51.892870811977694</c:v>
                </c:pt>
                <c:pt idx="12">
                  <c:v>65.70092499788883</c:v>
                </c:pt>
                <c:pt idx="13">
                  <c:v>79.19510788657959</c:v>
                </c:pt>
                <c:pt idx="14">
                  <c:v>78.88123658935919</c:v>
                </c:pt>
                <c:pt idx="15">
                  <c:v>-68.61544418636389</c:v>
                </c:pt>
              </c:numCache>
            </c:numRef>
          </c:xVal>
          <c:yVal>
            <c:numRef>
              <c:f>Расчет!$AJ$261:$AJ$276</c:f>
              <c:numCache>
                <c:ptCount val="16"/>
                <c:pt idx="0">
                  <c:v>3.4014298990249934</c:v>
                </c:pt>
                <c:pt idx="1">
                  <c:v>5.524599366907708</c:v>
                </c:pt>
                <c:pt idx="2">
                  <c:v>11.327687092986421</c:v>
                </c:pt>
                <c:pt idx="3">
                  <c:v>14.37065451081761</c:v>
                </c:pt>
                <c:pt idx="4">
                  <c:v>17.059518197867646</c:v>
                </c:pt>
                <c:pt idx="5">
                  <c:v>17.341638849049193</c:v>
                </c:pt>
                <c:pt idx="6">
                  <c:v>15.288273085559759</c:v>
                </c:pt>
                <c:pt idx="7">
                  <c:v>11.961005641340693</c:v>
                </c:pt>
                <c:pt idx="8">
                  <c:v>7.996787356756817</c:v>
                </c:pt>
                <c:pt idx="9">
                  <c:v>3.1833012850198523</c:v>
                </c:pt>
                <c:pt idx="10">
                  <c:v>-2.6917695206584646</c:v>
                </c:pt>
                <c:pt idx="11">
                  <c:v>-9.628425060278142</c:v>
                </c:pt>
                <c:pt idx="12">
                  <c:v>-17.202031440262633</c:v>
                </c:pt>
                <c:pt idx="13">
                  <c:v>-26.261856447765023</c:v>
                </c:pt>
                <c:pt idx="14">
                  <c:v>-27.748075075282923</c:v>
                </c:pt>
                <c:pt idx="15">
                  <c:v>3.4014298990249934</c:v>
                </c:pt>
              </c:numCache>
            </c:numRef>
          </c:yVal>
          <c:smooth val="1"/>
        </c:ser>
        <c:axId val="60690025"/>
        <c:axId val="9339314"/>
      </c:scatterChart>
      <c:valAx>
        <c:axId val="60690025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39314"/>
        <c:crossesAt val="0"/>
        <c:crossBetween val="midCat"/>
        <c:dispUnits/>
        <c:majorUnit val="10"/>
        <c:minorUnit val="10"/>
      </c:valAx>
      <c:valAx>
        <c:axId val="9339314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R=0.8</a:t>
            </a:r>
          </a:p>
        </c:rich>
      </c:tx>
      <c:layout>
        <c:manualLayout>
          <c:xMode val="factor"/>
          <c:yMode val="factor"/>
          <c:x val="0.0887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925"/>
          <c:h val="0.67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Расчет!$AI$283:$AI$298</c:f>
              <c:numCache>
                <c:ptCount val="16"/>
                <c:pt idx="0">
                  <c:v>-67.79592873783686</c:v>
                </c:pt>
                <c:pt idx="1">
                  <c:v>-67.4888889354116</c:v>
                </c:pt>
                <c:pt idx="2">
                  <c:v>-62.855913896464884</c:v>
                </c:pt>
                <c:pt idx="3">
                  <c:v>-58.62209060067105</c:v>
                </c:pt>
                <c:pt idx="4">
                  <c:v>-50.64570769296379</c:v>
                </c:pt>
                <c:pt idx="5">
                  <c:v>-35.429837403369916</c:v>
                </c:pt>
                <c:pt idx="6">
                  <c:v>-20.551710896443833</c:v>
                </c:pt>
                <c:pt idx="7">
                  <c:v>-5.857808270972905</c:v>
                </c:pt>
                <c:pt idx="8">
                  <c:v>8.743982413770434</c:v>
                </c:pt>
                <c:pt idx="9">
                  <c:v>23.222957177543666</c:v>
                </c:pt>
                <c:pt idx="10">
                  <c:v>37.54841204010427</c:v>
                </c:pt>
                <c:pt idx="11">
                  <c:v>51.72034700145224</c:v>
                </c:pt>
                <c:pt idx="12">
                  <c:v>65.80017002207262</c:v>
                </c:pt>
                <c:pt idx="13">
                  <c:v>79.66506518099533</c:v>
                </c:pt>
                <c:pt idx="14">
                  <c:v>79.45013731929764</c:v>
                </c:pt>
                <c:pt idx="15">
                  <c:v>-67.79592873783686</c:v>
                </c:pt>
              </c:numCache>
            </c:numRef>
          </c:xVal>
          <c:yVal>
            <c:numRef>
              <c:f>Расчет!$AJ$283:$AJ$298</c:f>
              <c:numCache>
                <c:ptCount val="16"/>
                <c:pt idx="0">
                  <c:v>1.6951261971153038</c:v>
                </c:pt>
                <c:pt idx="1">
                  <c:v>3.5498840141163948</c:v>
                </c:pt>
                <c:pt idx="2">
                  <c:v>8.690249064479737</c:v>
                </c:pt>
                <c:pt idx="3">
                  <c:v>11.419428952741658</c:v>
                </c:pt>
                <c:pt idx="4">
                  <c:v>13.910176222063754</c:v>
                </c:pt>
                <c:pt idx="5">
                  <c:v>14.44025199990533</c:v>
                </c:pt>
                <c:pt idx="6">
                  <c:v>12.930094179045708</c:v>
                </c:pt>
                <c:pt idx="7">
                  <c:v>10.30708166798543</c:v>
                </c:pt>
                <c:pt idx="8">
                  <c:v>7.127641811824824</c:v>
                </c:pt>
                <c:pt idx="9">
                  <c:v>3.2062988288637846</c:v>
                </c:pt>
                <c:pt idx="10">
                  <c:v>-1.6424230625978042</c:v>
                </c:pt>
                <c:pt idx="11">
                  <c:v>-7.41852386255994</c:v>
                </c:pt>
                <c:pt idx="12">
                  <c:v>-13.751052007622397</c:v>
                </c:pt>
                <c:pt idx="13">
                  <c:v>-21.381910624585622</c:v>
                </c:pt>
                <c:pt idx="14">
                  <c:v>-22.680241096486384</c:v>
                </c:pt>
                <c:pt idx="15">
                  <c:v>1.6951261971153038</c:v>
                </c:pt>
              </c:numCache>
            </c:numRef>
          </c:yVal>
          <c:smooth val="1"/>
        </c:ser>
        <c:axId val="16944963"/>
        <c:axId val="18286940"/>
      </c:scatterChart>
      <c:valAx>
        <c:axId val="16944963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At val="0"/>
        <c:crossBetween val="midCat"/>
        <c:dispUnits/>
        <c:majorUnit val="10"/>
        <c:minorUnit val="10"/>
      </c:valAx>
      <c:valAx>
        <c:axId val="18286940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R=0.9</a:t>
            </a:r>
          </a:p>
        </c:rich>
      </c:tx>
      <c:layout>
        <c:manualLayout>
          <c:xMode val="factor"/>
          <c:yMode val="factor"/>
          <c:x val="0.087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5"/>
          <c:h val="0.67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Расчет!$AI$307:$AI$322</c:f>
              <c:numCache>
                <c:ptCount val="16"/>
                <c:pt idx="0">
                  <c:v>-67.28921739141788</c:v>
                </c:pt>
                <c:pt idx="1">
                  <c:v>-67.07860403545405</c:v>
                </c:pt>
                <c:pt idx="2">
                  <c:v>-62.74591648687733</c:v>
                </c:pt>
                <c:pt idx="3">
                  <c:v>-58.68702630105359</c:v>
                </c:pt>
                <c:pt idx="4">
                  <c:v>-50.90622729894829</c:v>
                </c:pt>
                <c:pt idx="5">
                  <c:v>-35.85010134905088</c:v>
                </c:pt>
                <c:pt idx="6">
                  <c:v>-21.0256500907137</c:v>
                </c:pt>
                <c:pt idx="7">
                  <c:v>-6.327566845954822</c:v>
                </c:pt>
                <c:pt idx="8">
                  <c:v>8.307332392014905</c:v>
                </c:pt>
                <c:pt idx="9">
                  <c:v>22.85798628759909</c:v>
                </c:pt>
                <c:pt idx="10">
                  <c:v>37.30333350520137</c:v>
                </c:pt>
                <c:pt idx="11">
                  <c:v>51.64337404482171</c:v>
                </c:pt>
                <c:pt idx="12">
                  <c:v>65.92023057765293</c:v>
                </c:pt>
                <c:pt idx="13">
                  <c:v>80.04965776130943</c:v>
                </c:pt>
                <c:pt idx="14">
                  <c:v>79.90222841213475</c:v>
                </c:pt>
                <c:pt idx="15">
                  <c:v>-67.28921739141788</c:v>
                </c:pt>
              </c:numCache>
            </c:numRef>
          </c:xVal>
          <c:yVal>
            <c:numRef>
              <c:f>Расчет!$AJ$307:$AJ$322</c:f>
              <c:numCache>
                <c:ptCount val="16"/>
                <c:pt idx="0">
                  <c:v>0.9717756173656991</c:v>
                </c:pt>
                <c:pt idx="1">
                  <c:v>2.5477648350603026</c:v>
                </c:pt>
                <c:pt idx="2">
                  <c:v>6.941569092922536</c:v>
                </c:pt>
                <c:pt idx="3">
                  <c:v>9.286587367781781</c:v>
                </c:pt>
                <c:pt idx="4">
                  <c:v>11.45504116918891</c:v>
                </c:pt>
                <c:pt idx="5">
                  <c:v>12.009574649536116</c:v>
                </c:pt>
                <c:pt idx="6">
                  <c:v>10.830519990419258</c:v>
                </c:pt>
                <c:pt idx="7">
                  <c:v>8.70587180068564</c:v>
                </c:pt>
                <c:pt idx="8">
                  <c:v>6.108426845643638</c:v>
                </c:pt>
                <c:pt idx="9">
                  <c:v>2.880586203523796</c:v>
                </c:pt>
                <c:pt idx="10">
                  <c:v>-1.1352490474433479</c:v>
                </c:pt>
                <c:pt idx="11">
                  <c:v>-5.939078907257795</c:v>
                </c:pt>
                <c:pt idx="12">
                  <c:v>-11.215705532380625</c:v>
                </c:pt>
                <c:pt idx="13">
                  <c:v>-17.595524609889672</c:v>
                </c:pt>
                <c:pt idx="14">
                  <c:v>-18.698717062275897</c:v>
                </c:pt>
                <c:pt idx="15">
                  <c:v>0.9717756173656991</c:v>
                </c:pt>
              </c:numCache>
            </c:numRef>
          </c:yVal>
          <c:smooth val="1"/>
        </c:ser>
        <c:axId val="30364733"/>
        <c:axId val="4847142"/>
      </c:scatterChart>
      <c:valAx>
        <c:axId val="30364733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142"/>
        <c:crossesAt val="0"/>
        <c:crossBetween val="midCat"/>
        <c:dispUnits/>
        <c:majorUnit val="10"/>
        <c:minorUnit val="4"/>
      </c:valAx>
      <c:valAx>
        <c:axId val="4847142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5743575"/>
    <xdr:graphicFrame>
      <xdr:nvGraphicFramePr>
        <xdr:cNvPr id="1" name="Shape 1025"/>
        <xdr:cNvGraphicFramePr/>
      </xdr:nvGraphicFramePr>
      <xdr:xfrm>
        <a:off x="0" y="0"/>
        <a:ext cx="9963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47625</xdr:rowOff>
    </xdr:from>
    <xdr:to>
      <xdr:col>13</xdr:col>
      <xdr:colOff>28575</xdr:colOff>
      <xdr:row>34</xdr:row>
      <xdr:rowOff>104775</xdr:rowOff>
    </xdr:to>
    <xdr:graphicFrame>
      <xdr:nvGraphicFramePr>
        <xdr:cNvPr id="1" name="Chart 4"/>
        <xdr:cNvGraphicFramePr/>
      </xdr:nvGraphicFramePr>
      <xdr:xfrm>
        <a:off x="590550" y="514350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351"/>
  <sheetViews>
    <sheetView showGridLines="0" tabSelected="1" zoomScalePageLayoutView="0" workbookViewId="0" topLeftCell="A1">
      <pane xSplit="1" topLeftCell="B1" activePane="topRight" state="frozen"/>
      <selection pane="topLeft" activeCell="A25" sqref="A25"/>
      <selection pane="topRight" activeCell="B6" sqref="B6"/>
    </sheetView>
  </sheetViews>
  <sheetFormatPr defaultColWidth="9.625" defaultRowHeight="12.75"/>
  <cols>
    <col min="1" max="1" width="12.50390625" style="2" customWidth="1"/>
    <col min="2" max="2" width="16.375" style="2" customWidth="1"/>
    <col min="3" max="3" width="14.875" style="2" customWidth="1"/>
    <col min="4" max="4" width="10.625" style="6" customWidth="1"/>
    <col min="5" max="5" width="9.625" style="6" customWidth="1"/>
    <col min="6" max="8" width="9.625" style="2" customWidth="1"/>
    <col min="9" max="9" width="15.00390625" style="2" customWidth="1"/>
    <col min="10" max="10" width="9.625" style="2" customWidth="1"/>
    <col min="11" max="11" width="9.875" style="10" bestFit="1" customWidth="1"/>
    <col min="12" max="12" width="9.875" style="10" customWidth="1"/>
    <col min="13" max="13" width="7.75390625" style="10" customWidth="1"/>
    <col min="14" max="14" width="8.375" style="11" customWidth="1"/>
    <col min="15" max="16" width="9.625" style="2" customWidth="1"/>
    <col min="17" max="17" width="11.25390625" style="12" customWidth="1"/>
    <col min="18" max="18" width="9.625" style="35" customWidth="1"/>
    <col min="19" max="21" width="9.625" style="2" customWidth="1"/>
    <col min="22" max="26" width="9.625" style="8" customWidth="1"/>
    <col min="27" max="33" width="9.625" style="2" customWidth="1"/>
    <col min="34" max="34" width="12.125" style="2" customWidth="1"/>
    <col min="35" max="35" width="12.00390625" style="8" customWidth="1"/>
    <col min="36" max="36" width="11.50390625" style="8" customWidth="1"/>
    <col min="37" max="16384" width="9.625" style="2" customWidth="1"/>
  </cols>
  <sheetData>
    <row r="1" spans="1:36" ht="12">
      <c r="A1" s="2" t="s">
        <v>46</v>
      </c>
      <c r="C1" s="6"/>
      <c r="F1" s="7"/>
      <c r="H1" s="2" t="s">
        <v>47</v>
      </c>
      <c r="AH1" s="6">
        <v>10</v>
      </c>
      <c r="AI1" s="8">
        <v>15</v>
      </c>
      <c r="AJ1" s="6">
        <f>AH1</f>
        <v>10</v>
      </c>
    </row>
    <row r="2" spans="1:36" ht="12">
      <c r="A2" s="2" t="s">
        <v>32</v>
      </c>
      <c r="C2" s="6"/>
      <c r="F2" s="7"/>
      <c r="AH2" s="6"/>
      <c r="AJ2" s="6"/>
    </row>
    <row r="3" spans="2:36" ht="23.25" customHeight="1">
      <c r="B3" s="37" t="s">
        <v>56</v>
      </c>
      <c r="C3" s="38"/>
      <c r="D3" s="38"/>
      <c r="E3" s="38"/>
      <c r="F3" s="39"/>
      <c r="G3" s="37"/>
      <c r="H3" s="37"/>
      <c r="AH3" s="6"/>
      <c r="AJ3" s="6"/>
    </row>
    <row r="4" spans="1:36" ht="12.75" thickBot="1">
      <c r="A4" s="44"/>
      <c r="B4" s="45"/>
      <c r="C4" s="46"/>
      <c r="D4" s="46"/>
      <c r="E4" s="46"/>
      <c r="F4" s="47"/>
      <c r="G4" s="45"/>
      <c r="H4" s="45"/>
      <c r="I4" s="48"/>
      <c r="AH4" s="6"/>
      <c r="AJ4" s="6"/>
    </row>
    <row r="5" spans="1:36" ht="12.75" thickBot="1">
      <c r="A5" s="49" t="s">
        <v>48</v>
      </c>
      <c r="B5" s="15"/>
      <c r="C5" s="50"/>
      <c r="D5" s="51" t="s">
        <v>49</v>
      </c>
      <c r="E5" s="41">
        <v>30</v>
      </c>
      <c r="F5" s="52" t="s">
        <v>50</v>
      </c>
      <c r="G5" s="15" t="s">
        <v>51</v>
      </c>
      <c r="H5" s="41">
        <v>107</v>
      </c>
      <c r="I5" s="53" t="s">
        <v>42</v>
      </c>
      <c r="AH5" s="6"/>
      <c r="AJ5" s="6"/>
    </row>
    <row r="6" spans="1:36" ht="12.75" thickBot="1">
      <c r="A6" s="49"/>
      <c r="B6" s="15"/>
      <c r="C6" s="50"/>
      <c r="D6" s="50"/>
      <c r="E6" s="50"/>
      <c r="F6" s="54"/>
      <c r="G6" s="15"/>
      <c r="H6" s="15"/>
      <c r="I6" s="53"/>
      <c r="T6" s="2" t="s">
        <v>29</v>
      </c>
      <c r="U6" s="8"/>
      <c r="AH6" s="6"/>
      <c r="AJ6" s="6"/>
    </row>
    <row r="7" spans="1:36" ht="12.75" thickBot="1">
      <c r="A7" s="49"/>
      <c r="B7" s="15"/>
      <c r="C7" s="51" t="s">
        <v>52</v>
      </c>
      <c r="D7" s="51" t="s">
        <v>53</v>
      </c>
      <c r="E7" s="40">
        <f>1/E5*(POWER(POWER(H5/7.5,3),0.5))</f>
        <v>1.796232362359747</v>
      </c>
      <c r="F7" s="52" t="s">
        <v>41</v>
      </c>
      <c r="G7" s="51" t="s">
        <v>54</v>
      </c>
      <c r="H7" s="42">
        <f>1000*1.6*(POWER(E5/POWER(E7,5),1/3))</f>
        <v>1873.0794811470926</v>
      </c>
      <c r="I7" s="53" t="s">
        <v>55</v>
      </c>
      <c r="T7" s="8" t="s">
        <v>122</v>
      </c>
      <c r="V7" s="2"/>
      <c r="AH7" s="6"/>
      <c r="AJ7" s="6"/>
    </row>
    <row r="8" spans="1:36" ht="12">
      <c r="A8" s="55"/>
      <c r="B8" s="56"/>
      <c r="C8" s="57"/>
      <c r="D8" s="57"/>
      <c r="E8" s="57"/>
      <c r="F8" s="58"/>
      <c r="G8" s="56"/>
      <c r="H8" s="56"/>
      <c r="I8" s="59"/>
      <c r="T8" s="141" t="s">
        <v>25</v>
      </c>
      <c r="U8" s="141" t="s">
        <v>27</v>
      </c>
      <c r="V8" s="18"/>
      <c r="AH8" s="6"/>
      <c r="AJ8" s="6"/>
    </row>
    <row r="9" spans="1:36" ht="12.75" thickBot="1">
      <c r="A9" s="44"/>
      <c r="B9" s="45"/>
      <c r="C9" s="46"/>
      <c r="D9" s="46"/>
      <c r="E9" s="46"/>
      <c r="F9" s="47"/>
      <c r="G9" s="45"/>
      <c r="H9" s="45"/>
      <c r="I9" s="48"/>
      <c r="T9" s="154">
        <f>3/4*R36*N36/100</f>
        <v>40.60125000000001</v>
      </c>
      <c r="U9" s="154">
        <f>(T9+T8)/2*5</f>
        <v>101.50312500000001</v>
      </c>
      <c r="V9" s="18"/>
      <c r="AH9" s="6"/>
      <c r="AJ9" s="6"/>
    </row>
    <row r="10" spans="1:36" ht="12.75" thickBot="1">
      <c r="A10" s="49" t="s">
        <v>58</v>
      </c>
      <c r="B10" s="15"/>
      <c r="C10" s="50"/>
      <c r="D10" s="51" t="s">
        <v>59</v>
      </c>
      <c r="E10" s="41">
        <v>30</v>
      </c>
      <c r="F10" s="52" t="s">
        <v>50</v>
      </c>
      <c r="G10" s="51" t="s">
        <v>57</v>
      </c>
      <c r="H10" s="41">
        <v>5200</v>
      </c>
      <c r="I10" s="53" t="s">
        <v>55</v>
      </c>
      <c r="T10" s="154">
        <f aca="true" t="shared" si="0" ref="T10:T19">2/3*R37*N37/100</f>
        <v>33.488</v>
      </c>
      <c r="U10" s="154">
        <f aca="true" t="shared" si="1" ref="U10:U19">(T10+T9)/2*(A37-A36)/10</f>
        <v>148.1785</v>
      </c>
      <c r="V10" s="18"/>
      <c r="AH10" s="6"/>
      <c r="AJ10" s="6"/>
    </row>
    <row r="11" spans="1:36" ht="12.75" thickBot="1">
      <c r="A11" s="49"/>
      <c r="B11" s="15"/>
      <c r="C11" s="50"/>
      <c r="D11" s="51" t="s">
        <v>78</v>
      </c>
      <c r="E11" s="219">
        <v>1.4</v>
      </c>
      <c r="F11" s="52" t="s">
        <v>79</v>
      </c>
      <c r="G11" s="15" t="s">
        <v>44</v>
      </c>
      <c r="H11" s="41">
        <v>2</v>
      </c>
      <c r="I11" s="53" t="s">
        <v>45</v>
      </c>
      <c r="T11" s="154">
        <f t="shared" si="0"/>
        <v>31.49</v>
      </c>
      <c r="U11" s="154">
        <f t="shared" si="1"/>
        <v>227.423</v>
      </c>
      <c r="V11" s="18"/>
      <c r="AH11" s="6"/>
      <c r="AJ11" s="6"/>
    </row>
    <row r="12" spans="1:36" ht="12.75" thickBot="1">
      <c r="A12" s="49"/>
      <c r="B12" s="15"/>
      <c r="C12" s="50"/>
      <c r="D12" s="50"/>
      <c r="E12" s="50"/>
      <c r="F12" s="54"/>
      <c r="G12" s="15"/>
      <c r="H12" s="15"/>
      <c r="I12" s="53"/>
      <c r="T12" s="154">
        <f t="shared" si="0"/>
        <v>29.375999999999998</v>
      </c>
      <c r="U12" s="154">
        <f t="shared" si="1"/>
        <v>213.031</v>
      </c>
      <c r="V12" s="18"/>
      <c r="AH12" s="6"/>
      <c r="AJ12" s="6"/>
    </row>
    <row r="13" spans="1:36" ht="12.75" thickBot="1">
      <c r="A13" s="49"/>
      <c r="B13" s="15"/>
      <c r="C13" s="51" t="s">
        <v>52</v>
      </c>
      <c r="D13" s="51" t="s">
        <v>60</v>
      </c>
      <c r="E13" s="204">
        <f>7.5*POWER(POWER(E10*E11,2),1/3)</f>
        <v>90.62070926970411</v>
      </c>
      <c r="F13" s="15" t="s">
        <v>42</v>
      </c>
      <c r="G13" s="51" t="s">
        <v>54</v>
      </c>
      <c r="H13" s="42">
        <f>1000*1.6*(POWER(E10/POWER(E11,5),1/3))</f>
        <v>2837.572771335878</v>
      </c>
      <c r="I13" s="53" t="s">
        <v>55</v>
      </c>
      <c r="T13" s="154">
        <f t="shared" si="0"/>
        <v>27.323999999999998</v>
      </c>
      <c r="U13" s="154">
        <f t="shared" si="1"/>
        <v>198.45</v>
      </c>
      <c r="V13" s="18"/>
      <c r="AH13" s="6"/>
      <c r="AJ13" s="6"/>
    </row>
    <row r="14" spans="1:36" ht="12.75" thickBot="1">
      <c r="A14" s="49"/>
      <c r="B14" s="15"/>
      <c r="C14" s="50"/>
      <c r="D14" s="61" t="s">
        <v>62</v>
      </c>
      <c r="E14" s="205">
        <f>H13/60*E11*3.14159</f>
        <v>208.00477232969186</v>
      </c>
      <c r="F14" s="62" t="s">
        <v>63</v>
      </c>
      <c r="G14" s="63" t="s">
        <v>61</v>
      </c>
      <c r="H14" s="43">
        <f>H10/H13</f>
        <v>1.8325521207873496</v>
      </c>
      <c r="I14" s="53"/>
      <c r="T14" s="154">
        <f t="shared" si="0"/>
        <v>24.947</v>
      </c>
      <c r="U14" s="154">
        <f t="shared" si="1"/>
        <v>182.94850000000002</v>
      </c>
      <c r="V14" s="18"/>
      <c r="AH14" s="6"/>
      <c r="AJ14" s="6"/>
    </row>
    <row r="15" spans="1:36" ht="12">
      <c r="A15" s="55"/>
      <c r="B15" s="56"/>
      <c r="C15" s="57"/>
      <c r="D15" s="64"/>
      <c r="E15" s="57"/>
      <c r="F15" s="65"/>
      <c r="G15" s="66"/>
      <c r="H15" s="67"/>
      <c r="I15" s="59"/>
      <c r="T15" s="154">
        <f t="shared" si="0"/>
        <v>21.808499999999995</v>
      </c>
      <c r="U15" s="154">
        <f t="shared" si="1"/>
        <v>163.64424999999986</v>
      </c>
      <c r="V15" s="18"/>
      <c r="AH15" s="6"/>
      <c r="AJ15" s="6"/>
    </row>
    <row r="16" spans="1:36" ht="12.75" thickBot="1">
      <c r="A16" s="44"/>
      <c r="B16" s="45"/>
      <c r="C16" s="46"/>
      <c r="D16" s="68"/>
      <c r="E16" s="46"/>
      <c r="F16" s="69"/>
      <c r="G16" s="70"/>
      <c r="H16" s="71"/>
      <c r="I16" s="48"/>
      <c r="T16" s="154">
        <f t="shared" si="0"/>
        <v>20.3</v>
      </c>
      <c r="U16" s="154">
        <f t="shared" si="1"/>
        <v>73.68987500000011</v>
      </c>
      <c r="V16" s="18"/>
      <c r="AH16" s="6"/>
      <c r="AJ16" s="6"/>
    </row>
    <row r="17" spans="1:36" ht="12.75" thickBot="1">
      <c r="A17" s="49" t="s">
        <v>64</v>
      </c>
      <c r="B17" s="15"/>
      <c r="C17" s="50"/>
      <c r="D17" s="61" t="s">
        <v>65</v>
      </c>
      <c r="E17" s="41">
        <v>40</v>
      </c>
      <c r="F17" s="62" t="s">
        <v>66</v>
      </c>
      <c r="G17" s="72" t="s">
        <v>67</v>
      </c>
      <c r="H17" s="43">
        <f>E17/3.6</f>
        <v>11.11111111111111</v>
      </c>
      <c r="I17" s="53" t="s">
        <v>43</v>
      </c>
      <c r="T17" s="154">
        <f t="shared" si="0"/>
        <v>18.706</v>
      </c>
      <c r="U17" s="154">
        <f t="shared" si="1"/>
        <v>68.26050000000001</v>
      </c>
      <c r="V17" s="18"/>
      <c r="AH17" s="6"/>
      <c r="AJ17" s="6"/>
    </row>
    <row r="18" spans="1:36" ht="13.5" thickBot="1">
      <c r="A18" s="49" t="s">
        <v>76</v>
      </c>
      <c r="B18" s="15"/>
      <c r="C18" s="50"/>
      <c r="D18" s="61"/>
      <c r="E18" s="50"/>
      <c r="F18" s="62"/>
      <c r="G18" s="83" t="s">
        <v>80</v>
      </c>
      <c r="H18" s="43">
        <f>E13/(H11*(E11/4)*E21)</f>
        <v>863.054373997182</v>
      </c>
      <c r="I18" s="84" t="s">
        <v>77</v>
      </c>
      <c r="N18" s="11">
        <f>102/164</f>
        <v>0.6219512195121951</v>
      </c>
      <c r="T18" s="154">
        <f t="shared" si="0"/>
        <v>15.741</v>
      </c>
      <c r="U18" s="154">
        <f t="shared" si="1"/>
        <v>120.5645</v>
      </c>
      <c r="V18" s="18"/>
      <c r="AH18" s="6"/>
      <c r="AJ18" s="6"/>
    </row>
    <row r="19" spans="1:36" ht="12">
      <c r="A19" s="55"/>
      <c r="B19" s="56"/>
      <c r="C19" s="57"/>
      <c r="D19" s="64"/>
      <c r="E19" s="75" t="s">
        <v>72</v>
      </c>
      <c r="F19" s="65"/>
      <c r="G19" s="66"/>
      <c r="H19" s="76" t="s">
        <v>71</v>
      </c>
      <c r="I19" s="77" t="s">
        <v>70</v>
      </c>
      <c r="N19" s="11">
        <f>145/164</f>
        <v>0.8841463414634146</v>
      </c>
      <c r="T19" s="154">
        <f t="shared" si="0"/>
        <v>12.642000000000001</v>
      </c>
      <c r="U19" s="154">
        <f t="shared" si="1"/>
        <v>99.3405</v>
      </c>
      <c r="V19" s="18"/>
      <c r="AH19" s="6"/>
      <c r="AJ19" s="6"/>
    </row>
    <row r="20" spans="1:36" ht="12.75" thickBot="1">
      <c r="A20" s="44"/>
      <c r="B20" s="45"/>
      <c r="C20" s="46"/>
      <c r="D20" s="68" t="s">
        <v>134</v>
      </c>
      <c r="E20" s="46">
        <f>E11*0.164</f>
        <v>0.2296</v>
      </c>
      <c r="F20" s="69"/>
      <c r="G20" s="70"/>
      <c r="H20" s="71"/>
      <c r="I20" s="48"/>
      <c r="T20" s="8"/>
      <c r="U20" s="155">
        <f>SUM(U10:U19)</f>
        <v>1495.5306249999999</v>
      </c>
      <c r="V20" s="2" t="s">
        <v>28</v>
      </c>
      <c r="AH20" s="6"/>
      <c r="AJ20" s="6"/>
    </row>
    <row r="21" spans="1:36" ht="15" thickBot="1">
      <c r="A21" s="49" t="s">
        <v>128</v>
      </c>
      <c r="B21" s="15"/>
      <c r="C21" s="50"/>
      <c r="D21" s="61" t="s">
        <v>68</v>
      </c>
      <c r="E21" s="41">
        <v>0.15</v>
      </c>
      <c r="F21" s="73" t="str">
        <f>IF(D40&lt;18,H19,I19)</f>
        <v>ПОДХОДИТ</v>
      </c>
      <c r="G21" s="51" t="s">
        <v>69</v>
      </c>
      <c r="H21" s="40">
        <f>E21/E11</f>
        <v>0.10714285714285715</v>
      </c>
      <c r="I21" s="74"/>
      <c r="N21" s="11">
        <f>135/164</f>
        <v>0.823170731707317</v>
      </c>
      <c r="V21" s="2"/>
      <c r="W21" s="25"/>
      <c r="AH21" s="6"/>
      <c r="AJ21" s="6"/>
    </row>
    <row r="22" spans="1:36" ht="12">
      <c r="A22" s="49"/>
      <c r="B22" s="15"/>
      <c r="C22" s="50"/>
      <c r="D22" s="61"/>
      <c r="E22" s="78">
        <f>IF(D40&gt;=18,E19,I19)</f>
      </c>
      <c r="F22" s="62"/>
      <c r="G22" s="63"/>
      <c r="H22" s="60"/>
      <c r="I22" s="53"/>
      <c r="U22" s="156">
        <f>U20*2.7/1000</f>
        <v>4.0379326875</v>
      </c>
      <c r="V22" s="2" t="s">
        <v>35</v>
      </c>
      <c r="AH22" s="6"/>
      <c r="AJ22" s="6"/>
    </row>
    <row r="23" spans="1:36" ht="12">
      <c r="A23" s="55"/>
      <c r="B23" s="56"/>
      <c r="C23" s="57"/>
      <c r="D23" s="64"/>
      <c r="E23" s="57"/>
      <c r="F23" s="65"/>
      <c r="G23" s="66"/>
      <c r="H23" s="67"/>
      <c r="I23" s="59"/>
      <c r="U23" s="156">
        <f>U20*1.1/1000</f>
        <v>1.6450836875</v>
      </c>
      <c r="V23" s="2" t="s">
        <v>36</v>
      </c>
      <c r="AH23" s="6"/>
      <c r="AJ23" s="6"/>
    </row>
    <row r="24" spans="1:36" ht="12">
      <c r="A24" s="15"/>
      <c r="B24" s="15"/>
      <c r="C24" s="50"/>
      <c r="D24" s="61"/>
      <c r="E24" s="50"/>
      <c r="F24" s="62"/>
      <c r="G24" s="63"/>
      <c r="H24" s="60"/>
      <c r="I24" s="15"/>
      <c r="U24" s="156">
        <f>U20*0.6/1000</f>
        <v>0.897318375</v>
      </c>
      <c r="V24" s="2" t="s">
        <v>37</v>
      </c>
      <c r="AH24" s="6"/>
      <c r="AJ24" s="6"/>
    </row>
    <row r="25" spans="1:36" ht="17.25">
      <c r="A25" s="15" t="s">
        <v>87</v>
      </c>
      <c r="B25" s="15"/>
      <c r="C25" s="50"/>
      <c r="D25" s="80" t="s">
        <v>73</v>
      </c>
      <c r="E25" s="81" t="s">
        <v>81</v>
      </c>
      <c r="F25" s="62"/>
      <c r="G25" s="63"/>
      <c r="H25" s="60"/>
      <c r="I25" s="15"/>
      <c r="AH25" s="4" t="s">
        <v>132</v>
      </c>
      <c r="AJ25" s="6"/>
    </row>
    <row r="26" spans="1:36" ht="13.5" thickBot="1">
      <c r="A26" s="79"/>
      <c r="B26" s="15"/>
      <c r="C26" s="50"/>
      <c r="D26" s="61"/>
      <c r="E26" s="63" t="s">
        <v>74</v>
      </c>
      <c r="F26" s="62"/>
      <c r="G26" s="63"/>
      <c r="H26" s="60"/>
      <c r="I26" s="15"/>
      <c r="AH26" s="6"/>
      <c r="AJ26" s="6"/>
    </row>
    <row r="27" spans="1:36" ht="12">
      <c r="A27" s="15"/>
      <c r="B27" s="15"/>
      <c r="C27" s="50"/>
      <c r="D27" s="61"/>
      <c r="E27" s="50"/>
      <c r="F27" s="62"/>
      <c r="G27" s="63"/>
      <c r="H27" s="60"/>
      <c r="I27" s="15"/>
      <c r="AH27" s="196"/>
      <c r="AI27" s="159"/>
      <c r="AJ27" s="197"/>
    </row>
    <row r="28" spans="1:36" ht="12">
      <c r="A28" s="15" t="s">
        <v>112</v>
      </c>
      <c r="B28" s="15"/>
      <c r="C28" s="50"/>
      <c r="D28" s="61"/>
      <c r="E28" s="50"/>
      <c r="F28" s="62"/>
      <c r="G28" s="63"/>
      <c r="H28" s="60"/>
      <c r="I28" s="15"/>
      <c r="AH28" s="198"/>
      <c r="AI28" s="162"/>
      <c r="AJ28" s="199"/>
    </row>
    <row r="29" spans="1:36" ht="12.75">
      <c r="A29" s="15" t="s">
        <v>135</v>
      </c>
      <c r="B29" s="15"/>
      <c r="C29" s="50"/>
      <c r="D29" s="190"/>
      <c r="E29" s="50"/>
      <c r="F29" s="50"/>
      <c r="G29" s="15"/>
      <c r="H29" s="15"/>
      <c r="I29" s="15"/>
      <c r="AH29" s="198">
        <f aca="true" t="shared" si="2" ref="AH29:AH35">A36</f>
        <v>100</v>
      </c>
      <c r="AI29" s="162">
        <f>-AI77</f>
        <v>55.25178344025366</v>
      </c>
      <c r="AJ29" s="199">
        <f aca="true" t="shared" si="3" ref="AJ29:AJ51">AH29</f>
        <v>100</v>
      </c>
    </row>
    <row r="30" spans="1:36" ht="12">
      <c r="A30" s="144" t="s">
        <v>113</v>
      </c>
      <c r="B30" s="109"/>
      <c r="C30" s="109"/>
      <c r="D30" s="109"/>
      <c r="E30" s="109"/>
      <c r="F30" s="109"/>
      <c r="G30" s="110"/>
      <c r="H30" s="110"/>
      <c r="I30" s="15"/>
      <c r="AH30" s="200">
        <f t="shared" si="2"/>
        <v>140</v>
      </c>
      <c r="AI30" s="162">
        <f>-AI112</f>
        <v>58.570632852893446</v>
      </c>
      <c r="AJ30" s="199">
        <f t="shared" si="3"/>
        <v>140</v>
      </c>
    </row>
    <row r="31" spans="1:36" ht="12">
      <c r="A31" s="109"/>
      <c r="B31" s="117"/>
      <c r="C31" s="111"/>
      <c r="D31" s="117"/>
      <c r="E31" s="109"/>
      <c r="F31" s="110"/>
      <c r="G31" s="110"/>
      <c r="H31" s="110"/>
      <c r="I31" s="15"/>
      <c r="R31" s="35" t="s">
        <v>124</v>
      </c>
      <c r="W31" s="8" t="s">
        <v>131</v>
      </c>
      <c r="AH31" s="200">
        <f t="shared" si="2"/>
        <v>210</v>
      </c>
      <c r="AI31" s="162">
        <f>-AI150</f>
        <v>62.252055665322686</v>
      </c>
      <c r="AJ31" s="199">
        <f t="shared" si="3"/>
        <v>210</v>
      </c>
    </row>
    <row r="32" spans="1:36" ht="12.75" thickBot="1">
      <c r="A32" s="109"/>
      <c r="B32" s="109"/>
      <c r="C32" s="109"/>
      <c r="D32" s="109"/>
      <c r="E32" s="111"/>
      <c r="F32" s="112"/>
      <c r="G32" s="109"/>
      <c r="H32" s="109" t="s">
        <v>96</v>
      </c>
      <c r="I32" s="191" t="s">
        <v>129</v>
      </c>
      <c r="J32" s="2" t="s">
        <v>18</v>
      </c>
      <c r="N32" s="11" t="s">
        <v>23</v>
      </c>
      <c r="O32" s="2" t="s">
        <v>21</v>
      </c>
      <c r="P32" s="2" t="s">
        <v>88</v>
      </c>
      <c r="Q32" s="12" t="s">
        <v>30</v>
      </c>
      <c r="R32" s="35" t="s">
        <v>125</v>
      </c>
      <c r="AH32" s="200">
        <f t="shared" si="2"/>
        <v>280</v>
      </c>
      <c r="AI32" s="162">
        <f>-AI193</f>
        <v>65.56281033928146</v>
      </c>
      <c r="AJ32" s="199">
        <f t="shared" si="3"/>
        <v>280</v>
      </c>
    </row>
    <row r="33" spans="1:36" ht="12.75" thickBot="1">
      <c r="A33" s="117"/>
      <c r="B33" s="113"/>
      <c r="C33" s="113"/>
      <c r="D33" s="111"/>
      <c r="E33" s="114"/>
      <c r="F33" s="115"/>
      <c r="G33" s="116"/>
      <c r="H33" s="113" t="s">
        <v>97</v>
      </c>
      <c r="I33" s="95" t="s">
        <v>130</v>
      </c>
      <c r="J33" s="2" t="s">
        <v>19</v>
      </c>
      <c r="N33" s="11" t="s">
        <v>26</v>
      </c>
      <c r="O33" s="2" t="s">
        <v>26</v>
      </c>
      <c r="P33" s="2" t="s">
        <v>89</v>
      </c>
      <c r="Q33" s="12" t="s">
        <v>31</v>
      </c>
      <c r="R33" s="94">
        <v>1.1</v>
      </c>
      <c r="V33" s="192"/>
      <c r="W33" s="159"/>
      <c r="X33" s="159"/>
      <c r="Y33" s="159"/>
      <c r="Z33" s="159"/>
      <c r="AA33" s="160"/>
      <c r="AH33" s="200">
        <f t="shared" si="2"/>
        <v>350</v>
      </c>
      <c r="AI33" s="162">
        <f>-AI216</f>
        <v>67.59486516423294</v>
      </c>
      <c r="AJ33" s="199">
        <f t="shared" si="3"/>
        <v>350</v>
      </c>
    </row>
    <row r="34" spans="1:36" ht="12">
      <c r="A34" s="117"/>
      <c r="B34" s="113"/>
      <c r="C34" s="113"/>
      <c r="D34" s="111"/>
      <c r="E34" s="114"/>
      <c r="F34" s="118"/>
      <c r="G34" s="116"/>
      <c r="H34" s="113" t="s">
        <v>98</v>
      </c>
      <c r="I34" s="95" t="s">
        <v>94</v>
      </c>
      <c r="V34" s="193"/>
      <c r="W34" s="162"/>
      <c r="X34" s="162"/>
      <c r="Y34" s="162"/>
      <c r="Z34" s="162"/>
      <c r="AA34" s="163"/>
      <c r="AH34" s="200">
        <f t="shared" si="2"/>
        <v>420</v>
      </c>
      <c r="AI34" s="162">
        <f>-AI239</f>
        <v>68.97513694085467</v>
      </c>
      <c r="AJ34" s="199">
        <f t="shared" si="3"/>
        <v>420</v>
      </c>
    </row>
    <row r="35" spans="1:36" ht="12.75">
      <c r="A35" s="107" t="s">
        <v>75</v>
      </c>
      <c r="B35" s="92" t="s">
        <v>106</v>
      </c>
      <c r="C35" s="107" t="s">
        <v>75</v>
      </c>
      <c r="D35" s="91" t="s">
        <v>82</v>
      </c>
      <c r="E35" s="91" t="s">
        <v>83</v>
      </c>
      <c r="F35" s="124" t="s">
        <v>73</v>
      </c>
      <c r="G35" s="90" t="s">
        <v>84</v>
      </c>
      <c r="H35" s="91" t="s">
        <v>85</v>
      </c>
      <c r="I35" s="92" t="s">
        <v>95</v>
      </c>
      <c r="J35" s="96" t="s">
        <v>3</v>
      </c>
      <c r="K35" s="97" t="s">
        <v>91</v>
      </c>
      <c r="L35" s="92" t="s">
        <v>90</v>
      </c>
      <c r="M35" s="92" t="s">
        <v>133</v>
      </c>
      <c r="N35" s="98" t="s">
        <v>5</v>
      </c>
      <c r="O35" s="99" t="s">
        <v>6</v>
      </c>
      <c r="P35" s="99" t="s">
        <v>12</v>
      </c>
      <c r="Q35" s="125" t="s">
        <v>2</v>
      </c>
      <c r="R35" s="98" t="s">
        <v>7</v>
      </c>
      <c r="S35" s="97" t="s">
        <v>92</v>
      </c>
      <c r="T35" s="92" t="s">
        <v>93</v>
      </c>
      <c r="U35" s="17" t="s">
        <v>9</v>
      </c>
      <c r="V35" s="193"/>
      <c r="W35" s="162"/>
      <c r="X35" s="162"/>
      <c r="Y35" s="162"/>
      <c r="Z35" s="162"/>
      <c r="AA35" s="163"/>
      <c r="AH35" s="200">
        <f t="shared" si="2"/>
        <v>489.99999999999994</v>
      </c>
      <c r="AI35" s="162">
        <f>-AI261</f>
        <v>68.61544418636389</v>
      </c>
      <c r="AJ35" s="199">
        <f t="shared" si="3"/>
        <v>489.99999999999994</v>
      </c>
    </row>
    <row r="36" spans="1:36" ht="12">
      <c r="A36" s="189">
        <v>100</v>
      </c>
      <c r="B36" s="119">
        <f>TAN(F36/57.3)*A36*2*3.14159</f>
        <v>415.1161403846078</v>
      </c>
      <c r="C36" s="120">
        <v>100</v>
      </c>
      <c r="D36" s="121">
        <v>100</v>
      </c>
      <c r="E36" s="206">
        <f>57.3*ATAN(0.01*H17/(H13/1000*(A36/1000)))</f>
        <v>21.385443866084955</v>
      </c>
      <c r="F36" s="93">
        <f>F37+(F40-F42)/3</f>
        <v>33.45434285962116</v>
      </c>
      <c r="G36" s="122">
        <f>H13/60*2*3.14159*A36/1000</f>
        <v>29.714967475670267</v>
      </c>
      <c r="H36" s="123">
        <f>F36-H49</f>
        <v>33.45434285962116</v>
      </c>
      <c r="I36" s="207">
        <f>H13/60*B36/1000*3.6</f>
        <v>70.67533541384431</v>
      </c>
      <c r="J36" s="100">
        <f aca="true" t="shared" si="4" ref="J36:J42">N36*K36</f>
        <v>112.63712655486447</v>
      </c>
      <c r="K36" s="101">
        <f>COS(F36/57.3)</f>
        <v>0.8343490855915886</v>
      </c>
      <c r="L36" s="102">
        <f>COS(H36/57.3)</f>
        <v>0.8343490855915886</v>
      </c>
      <c r="M36" s="102">
        <v>0.9</v>
      </c>
      <c r="N36" s="103">
        <f>E21*1000*M36</f>
        <v>135</v>
      </c>
      <c r="O36" s="100">
        <f>P36*N36/100</f>
        <v>36.45</v>
      </c>
      <c r="P36" s="104">
        <v>27</v>
      </c>
      <c r="Q36" s="105">
        <f>A36</f>
        <v>100</v>
      </c>
      <c r="R36" s="106">
        <f>ROUND(O36*R33,1)</f>
        <v>40.1</v>
      </c>
      <c r="S36" s="126">
        <f>SIN(F36/57.3)</f>
        <v>0.5512364314633784</v>
      </c>
      <c r="T36" s="127">
        <f>SIN(H36/57.3)</f>
        <v>0.5512364314633784</v>
      </c>
      <c r="U36" s="13">
        <f aca="true" t="shared" si="5" ref="U36:U46">ROUND(N36*S36,1)</f>
        <v>74.4</v>
      </c>
      <c r="V36" s="193">
        <f>J36/2</f>
        <v>56.31856327743223</v>
      </c>
      <c r="W36" s="162">
        <f aca="true" t="shared" si="6" ref="W36:W42">Q36</f>
        <v>100</v>
      </c>
      <c r="X36" s="162">
        <f>AI29</f>
        <v>55.25178344025366</v>
      </c>
      <c r="Y36" s="162">
        <f>-V36</f>
        <v>-56.31856327743223</v>
      </c>
      <c r="Z36" s="162">
        <f>AI48</f>
        <v>-58.51446900391291</v>
      </c>
      <c r="AA36" s="163"/>
      <c r="AH36" s="200">
        <f>A44</f>
        <v>560</v>
      </c>
      <c r="AI36" s="162">
        <f>-AI283</f>
        <v>67.79592873783686</v>
      </c>
      <c r="AJ36" s="199">
        <f t="shared" si="3"/>
        <v>560</v>
      </c>
    </row>
    <row r="37" spans="1:36" ht="12">
      <c r="A37" s="85">
        <f>E11*500*0.2</f>
        <v>140</v>
      </c>
      <c r="B37" s="88">
        <f aca="true" t="shared" si="7" ref="B37:B46">TAN(F37/57.3)*A37*2*3.14159</f>
        <v>526.8592831767015</v>
      </c>
      <c r="C37" s="86">
        <f>A37</f>
        <v>140</v>
      </c>
      <c r="D37" s="137">
        <f>57.3*((3.3*H18/10000/(H13*H13/1000000*A37*A37/1000000+(H17*H17/10000)))-0.018)</f>
        <v>94.87461216609125</v>
      </c>
      <c r="E37" s="208">
        <f>57.3*ATAN(0.01*H17/(H13/1000*(A37/1000)))</f>
        <v>15.627114241052444</v>
      </c>
      <c r="F37" s="93">
        <f>F38+(F40-F42)/2</f>
        <v>30.92157609813131</v>
      </c>
      <c r="G37" s="87">
        <f>H13/60*2*3.14159*A37/1000</f>
        <v>41.60095446593837</v>
      </c>
      <c r="H37" s="89">
        <f>F37-H49</f>
        <v>30.92157609813131</v>
      </c>
      <c r="I37" s="207">
        <f>H13/60*B37/1000*3.6</f>
        <v>89.70009337606483</v>
      </c>
      <c r="J37" s="100">
        <f t="shared" si="4"/>
        <v>118.38908006369138</v>
      </c>
      <c r="K37" s="101">
        <f aca="true" t="shared" si="8" ref="K37:K46">COS(F37/57.3)</f>
        <v>0.8578918845195027</v>
      </c>
      <c r="L37" s="102">
        <f aca="true" t="shared" si="9" ref="L37:L46">COS(H37/57.3)</f>
        <v>0.8578918845195027</v>
      </c>
      <c r="M37" s="102">
        <v>0.92</v>
      </c>
      <c r="N37" s="103">
        <f>E21*1000*M37</f>
        <v>138</v>
      </c>
      <c r="O37" s="100">
        <f>P37*N37/100</f>
        <v>33.12</v>
      </c>
      <c r="P37" s="104">
        <v>24</v>
      </c>
      <c r="Q37" s="105">
        <f aca="true" t="shared" si="10" ref="Q37:Q46">A37</f>
        <v>140</v>
      </c>
      <c r="R37" s="106">
        <f>ROUND(O37*R33,1)</f>
        <v>36.4</v>
      </c>
      <c r="S37" s="126">
        <f aca="true" t="shared" si="11" ref="S37:S46">SIN(F37/57.3)</f>
        <v>0.5138302389657271</v>
      </c>
      <c r="T37" s="127">
        <f aca="true" t="shared" si="12" ref="T37:T46">SIN(H37/57.3)</f>
        <v>0.5138302389657271</v>
      </c>
      <c r="U37" s="13">
        <f t="shared" si="5"/>
        <v>70.9</v>
      </c>
      <c r="V37" s="193">
        <f aca="true" t="shared" si="13" ref="V37:V42">J37/2</f>
        <v>59.19454003184569</v>
      </c>
      <c r="W37" s="162">
        <f t="shared" si="6"/>
        <v>140</v>
      </c>
      <c r="X37" s="162">
        <f aca="true" t="shared" si="14" ref="X37:X42">AI30</f>
        <v>58.570632852893446</v>
      </c>
      <c r="Y37" s="162">
        <f>-V37</f>
        <v>-59.19454003184569</v>
      </c>
      <c r="Z37" s="162">
        <f>AI47</f>
        <v>-60.8684313232698</v>
      </c>
      <c r="AA37" s="163"/>
      <c r="AH37" s="200">
        <f>A45</f>
        <v>630</v>
      </c>
      <c r="AI37" s="162">
        <f>-AI307</f>
        <v>67.28921739141788</v>
      </c>
      <c r="AJ37" s="199">
        <f t="shared" si="3"/>
        <v>630</v>
      </c>
    </row>
    <row r="38" spans="1:36" ht="12">
      <c r="A38" s="85">
        <f>E11*500*0.3</f>
        <v>210</v>
      </c>
      <c r="B38" s="88">
        <f t="shared" si="7"/>
        <v>675.7995290264221</v>
      </c>
      <c r="C38" s="86">
        <f aca="true" t="shared" si="15" ref="C38:C46">A38</f>
        <v>210</v>
      </c>
      <c r="D38" s="137">
        <f>57.3*((3.3*H18/10000/(H13*H13/1000000*A38*A38/1000000+(H17*H17/10000)))-0.018)</f>
        <v>43.383739933531615</v>
      </c>
      <c r="E38" s="208">
        <f>57.3*ATAN(0.01*H17/(H13/1000*(A38/1000)))</f>
        <v>10.562989534367055</v>
      </c>
      <c r="F38" s="93">
        <f>F39+(F40-F42)/2</f>
        <v>27.122425955896546</v>
      </c>
      <c r="G38" s="87">
        <f>H13/60*2*3.14159*A38/1000</f>
        <v>62.40143169890756</v>
      </c>
      <c r="H38" s="89">
        <f>F38-H49</f>
        <v>27.122425955896546</v>
      </c>
      <c r="I38" s="207">
        <f>H13/60*B38/1000*3.6</f>
        <v>115.05782054681913</v>
      </c>
      <c r="J38" s="100">
        <f t="shared" si="4"/>
        <v>125.49709626624735</v>
      </c>
      <c r="K38" s="101">
        <f t="shared" si="8"/>
        <v>0.8900503281294139</v>
      </c>
      <c r="L38" s="102">
        <f t="shared" si="9"/>
        <v>0.8900503281294139</v>
      </c>
      <c r="M38" s="102">
        <v>0.94</v>
      </c>
      <c r="N38" s="103">
        <f>E21*1000*M38</f>
        <v>141</v>
      </c>
      <c r="O38" s="100">
        <f>O39+((O37-O46)/8)</f>
        <v>30.45000000000001</v>
      </c>
      <c r="P38" s="104">
        <v>22</v>
      </c>
      <c r="Q38" s="105">
        <f t="shared" si="10"/>
        <v>210</v>
      </c>
      <c r="R38" s="106">
        <f>ROUND(O38*R33,1)</f>
        <v>33.5</v>
      </c>
      <c r="S38" s="126">
        <f t="shared" si="11"/>
        <v>0.45586227459258216</v>
      </c>
      <c r="T38" s="127">
        <f t="shared" si="12"/>
        <v>0.45586227459258216</v>
      </c>
      <c r="U38" s="13">
        <f t="shared" si="5"/>
        <v>64.3</v>
      </c>
      <c r="V38" s="193">
        <f t="shared" si="13"/>
        <v>62.74854813312368</v>
      </c>
      <c r="W38" s="162">
        <f t="shared" si="6"/>
        <v>210</v>
      </c>
      <c r="X38" s="162">
        <f t="shared" si="14"/>
        <v>62.252055665322686</v>
      </c>
      <c r="Y38" s="162">
        <f aca="true" t="shared" si="16" ref="Y38:Y45">-V38</f>
        <v>-62.74854813312368</v>
      </c>
      <c r="Z38" s="162">
        <f>AI46</f>
        <v>-64.19656543331463</v>
      </c>
      <c r="AA38" s="163"/>
      <c r="AH38" s="200">
        <f>A46</f>
        <v>700</v>
      </c>
      <c r="AI38" s="162">
        <f>-AI330</f>
        <v>66.45839885440853</v>
      </c>
      <c r="AJ38" s="199">
        <f t="shared" si="3"/>
        <v>700</v>
      </c>
    </row>
    <row r="39" spans="1:36" ht="12">
      <c r="A39" s="85">
        <f>E11*500*0.4</f>
        <v>280</v>
      </c>
      <c r="B39" s="88">
        <f t="shared" si="7"/>
        <v>758.4549937100253</v>
      </c>
      <c r="C39" s="86">
        <f t="shared" si="15"/>
        <v>280</v>
      </c>
      <c r="D39" s="137">
        <f>57.3*((3.3*H18/10000/(H13*H13/1000000*A39*A39/1000000+(H17*H17/10000)))-0.018)</f>
        <v>24.324853149959623</v>
      </c>
      <c r="E39" s="208">
        <f>57.3*ATAN(0.01*H17/(H13/1000*(A39/1000)))</f>
        <v>7.961586168555928</v>
      </c>
      <c r="F39" s="93">
        <f>F40+(F40-F42)/2</f>
        <v>23.32327581366178</v>
      </c>
      <c r="G39" s="87">
        <f>H13/60*2*3.14159*A39/1000</f>
        <v>83.20190893187674</v>
      </c>
      <c r="H39" s="89">
        <f>F39-H49</f>
        <v>23.32327581366178</v>
      </c>
      <c r="I39" s="207">
        <f>H13/60*B39/1000*3.6</f>
        <v>129.13027430611754</v>
      </c>
      <c r="J39" s="100">
        <f t="shared" si="4"/>
        <v>132.234838520928</v>
      </c>
      <c r="K39" s="101">
        <f t="shared" si="8"/>
        <v>0.9182974897286666</v>
      </c>
      <c r="L39" s="102">
        <f t="shared" si="9"/>
        <v>0.9182974897286666</v>
      </c>
      <c r="M39" s="102">
        <v>0.96</v>
      </c>
      <c r="N39" s="103">
        <f>E21*1000*M39</f>
        <v>144</v>
      </c>
      <c r="O39" s="100">
        <f>O40+((O37-O46)/8)</f>
        <v>27.78000000000001</v>
      </c>
      <c r="P39" s="104">
        <v>20</v>
      </c>
      <c r="Q39" s="105">
        <f t="shared" si="10"/>
        <v>280</v>
      </c>
      <c r="R39" s="106">
        <f>ROUND(O39*R33,1)</f>
        <v>30.6</v>
      </c>
      <c r="S39" s="126">
        <f t="shared" si="11"/>
        <v>0.3958910460695334</v>
      </c>
      <c r="T39" s="127">
        <f t="shared" si="12"/>
        <v>0.3958910460695334</v>
      </c>
      <c r="U39" s="13">
        <f t="shared" si="5"/>
        <v>57</v>
      </c>
      <c r="V39" s="193">
        <f t="shared" si="13"/>
        <v>66.117419260464</v>
      </c>
      <c r="W39" s="162">
        <f t="shared" si="6"/>
        <v>280</v>
      </c>
      <c r="X39" s="162">
        <f t="shared" si="14"/>
        <v>65.56281033928146</v>
      </c>
      <c r="Y39" s="162">
        <f t="shared" si="16"/>
        <v>-66.117419260464</v>
      </c>
      <c r="Z39" s="162">
        <f>AI45</f>
        <v>-67.52002680232748</v>
      </c>
      <c r="AA39" s="163"/>
      <c r="AH39" s="200">
        <f>A46</f>
        <v>700</v>
      </c>
      <c r="AI39" s="162">
        <f>-AI343</f>
        <v>-79.75467137418522</v>
      </c>
      <c r="AJ39" s="199">
        <f t="shared" si="3"/>
        <v>700</v>
      </c>
    </row>
    <row r="40" spans="1:36" ht="12">
      <c r="A40" s="85">
        <f>E11*500*0.5</f>
        <v>350</v>
      </c>
      <c r="B40" s="88">
        <f t="shared" si="7"/>
        <v>779.7268811297787</v>
      </c>
      <c r="C40" s="85">
        <f t="shared" si="15"/>
        <v>350</v>
      </c>
      <c r="D40" s="209">
        <f>57.3*((3.3*H18/10000/(H13*H13/1000000*A40*A40/1000000+(H17*H17/10000)))-0.018)</f>
        <v>15.309443898387295</v>
      </c>
      <c r="E40" s="208">
        <f>57.3*ATAN(0.01*H17/(H13/1000*(A40/1000)))</f>
        <v>6.384029069864944</v>
      </c>
      <c r="F40" s="93">
        <f>(D40+E40)*0.9</f>
        <v>19.524125671427015</v>
      </c>
      <c r="G40" s="87">
        <f>H13/60*2*3.14159*A40/1000</f>
        <v>104.00238616484593</v>
      </c>
      <c r="H40" s="89">
        <f>F40-H49</f>
        <v>19.524125671427015</v>
      </c>
      <c r="I40" s="207">
        <f>H13/60*B40/1000*3.6</f>
        <v>132.75190601835044</v>
      </c>
      <c r="J40" s="100">
        <f t="shared" si="4"/>
        <v>139.96262192719706</v>
      </c>
      <c r="K40" s="101">
        <f t="shared" si="8"/>
        <v>0.9425092385669837</v>
      </c>
      <c r="L40" s="102">
        <f t="shared" si="9"/>
        <v>0.9425092385669837</v>
      </c>
      <c r="M40" s="102">
        <v>0.99</v>
      </c>
      <c r="N40" s="103">
        <f>E21*1000*M40</f>
        <v>148.5</v>
      </c>
      <c r="O40" s="100">
        <f>O41+((O37-O46)/8)</f>
        <v>25.110000000000007</v>
      </c>
      <c r="P40" s="104">
        <v>18</v>
      </c>
      <c r="Q40" s="105">
        <f t="shared" si="10"/>
        <v>350</v>
      </c>
      <c r="R40" s="106">
        <f>ROUND(O40*R33,1)</f>
        <v>27.6</v>
      </c>
      <c r="S40" s="126">
        <f t="shared" si="11"/>
        <v>0.3341800939850916</v>
      </c>
      <c r="T40" s="127">
        <f t="shared" si="12"/>
        <v>0.3341800939850916</v>
      </c>
      <c r="U40" s="13">
        <f t="shared" si="5"/>
        <v>49.6</v>
      </c>
      <c r="V40" s="193">
        <f t="shared" si="13"/>
        <v>69.98131096359853</v>
      </c>
      <c r="W40" s="162">
        <f t="shared" si="6"/>
        <v>350</v>
      </c>
      <c r="X40" s="162">
        <f t="shared" si="14"/>
        <v>67.59486516423294</v>
      </c>
      <c r="Y40" s="162">
        <f t="shared" si="16"/>
        <v>-69.98131096359853</v>
      </c>
      <c r="Z40" s="162">
        <f>AI44</f>
        <v>-73.01339270454332</v>
      </c>
      <c r="AA40" s="163"/>
      <c r="AH40" s="200">
        <f>A45</f>
        <v>630</v>
      </c>
      <c r="AI40" s="162">
        <f>-AI320</f>
        <v>-80.04965776130943</v>
      </c>
      <c r="AJ40" s="199">
        <f t="shared" si="3"/>
        <v>630</v>
      </c>
    </row>
    <row r="41" spans="1:36" ht="12">
      <c r="A41" s="85">
        <f>E11*500*0.6</f>
        <v>420</v>
      </c>
      <c r="B41" s="88">
        <f t="shared" si="7"/>
        <v>741.0273089401369</v>
      </c>
      <c r="C41" s="85">
        <f t="shared" si="15"/>
        <v>420</v>
      </c>
      <c r="D41" s="208">
        <f>57.3*((3.3*H18/10000/(H13*H13/1000000*A41*A41/1000000+(H17*H17/10000)))-0.018)</f>
        <v>10.359434012862462</v>
      </c>
      <c r="E41" s="208">
        <f>57.3*ATAN(0.01*H17/(H13/1000*(A41/1000)))</f>
        <v>5.326748899221893</v>
      </c>
      <c r="F41" s="93">
        <f aca="true" t="shared" si="17" ref="F41:F46">D41+E41</f>
        <v>15.686182912084355</v>
      </c>
      <c r="G41" s="87">
        <f>H13/60*2*3.14159*A41/1000</f>
        <v>124.80286339781512</v>
      </c>
      <c r="H41" s="89">
        <f>F41-H49</f>
        <v>15.686182912084355</v>
      </c>
      <c r="I41" s="207">
        <f>H13/60*B41/1000*3.6</f>
        <v>126.16313487988994</v>
      </c>
      <c r="J41" s="100">
        <f t="shared" si="4"/>
        <v>145.8585076239932</v>
      </c>
      <c r="K41" s="101">
        <f t="shared" si="8"/>
        <v>0.9627624265610113</v>
      </c>
      <c r="L41" s="102">
        <f t="shared" si="9"/>
        <v>0.9627624265610113</v>
      </c>
      <c r="M41" s="102">
        <v>1.01</v>
      </c>
      <c r="N41" s="103">
        <f>E21*1000*M41</f>
        <v>151.5</v>
      </c>
      <c r="O41" s="100">
        <f>O42+((O37-O46)/8)</f>
        <v>22.440000000000005</v>
      </c>
      <c r="P41" s="104">
        <v>16</v>
      </c>
      <c r="Q41" s="105">
        <f t="shared" si="10"/>
        <v>420</v>
      </c>
      <c r="R41" s="106">
        <f>ROUND(O41*R33,1)</f>
        <v>24.7</v>
      </c>
      <c r="S41" s="126">
        <f t="shared" si="11"/>
        <v>0.27034886721115226</v>
      </c>
      <c r="T41" s="127">
        <f t="shared" si="12"/>
        <v>0.27034886721115226</v>
      </c>
      <c r="U41" s="13">
        <f t="shared" si="5"/>
        <v>41</v>
      </c>
      <c r="V41" s="193">
        <f t="shared" si="13"/>
        <v>72.9292538119966</v>
      </c>
      <c r="W41" s="162">
        <f t="shared" si="6"/>
        <v>420</v>
      </c>
      <c r="X41" s="162">
        <f t="shared" si="14"/>
        <v>68.97513694085467</v>
      </c>
      <c r="Y41" s="162">
        <f t="shared" si="16"/>
        <v>-72.9292538119966</v>
      </c>
      <c r="Z41" s="162">
        <f>AI43</f>
        <v>-77.35080387454661</v>
      </c>
      <c r="AA41" s="163"/>
      <c r="AH41" s="200">
        <f>A44</f>
        <v>560</v>
      </c>
      <c r="AI41" s="162">
        <f>-AI296</f>
        <v>-79.66506518099533</v>
      </c>
      <c r="AJ41" s="199">
        <f t="shared" si="3"/>
        <v>560</v>
      </c>
    </row>
    <row r="42" spans="1:36" ht="12">
      <c r="A42" s="85">
        <f>E11*500*0.7</f>
        <v>489.99999999999994</v>
      </c>
      <c r="B42" s="88">
        <f t="shared" si="7"/>
        <v>650.1962848331164</v>
      </c>
      <c r="C42" s="85">
        <f t="shared" si="15"/>
        <v>489.99999999999994</v>
      </c>
      <c r="D42" s="208">
        <f>57.3*((3.3*H18/10000/(H13*H13/1000000*A42*A42/1000000+(H17*H17/10000)))-0.018)</f>
        <v>7.35655240656003</v>
      </c>
      <c r="E42" s="208">
        <f>57.3*ATAN(0.01*H17/(H13/1000*(A42/1000)))</f>
        <v>4.569272980397453</v>
      </c>
      <c r="F42" s="93">
        <f t="shared" si="17"/>
        <v>11.925825386957483</v>
      </c>
      <c r="G42" s="87">
        <f>H13/60*2*3.14159*A42/1000</f>
        <v>145.6033406307843</v>
      </c>
      <c r="H42" s="89">
        <f>F42-H49</f>
        <v>11.925825386957483</v>
      </c>
      <c r="I42" s="207">
        <f>H13/60*B42/1000*3.6</f>
        <v>110.69875643197187</v>
      </c>
      <c r="J42" s="100">
        <f t="shared" si="4"/>
        <v>147.4966807757231</v>
      </c>
      <c r="K42" s="101">
        <f t="shared" si="8"/>
        <v>0.9784191096233705</v>
      </c>
      <c r="L42" s="102">
        <f t="shared" si="9"/>
        <v>0.9784191096233705</v>
      </c>
      <c r="M42" s="102">
        <v>1.005</v>
      </c>
      <c r="N42" s="103">
        <f>E21*1000*M42</f>
        <v>150.74999999999997</v>
      </c>
      <c r="O42" s="100">
        <f>O43+((O37-O46)/16)</f>
        <v>19.770000000000003</v>
      </c>
      <c r="P42" s="104">
        <v>14</v>
      </c>
      <c r="Q42" s="105">
        <f t="shared" si="10"/>
        <v>489.99999999999994</v>
      </c>
      <c r="R42" s="106">
        <f>ROUND(O42*R33,1)</f>
        <v>21.7</v>
      </c>
      <c r="S42" s="126">
        <f t="shared" si="11"/>
        <v>0.20663021541829468</v>
      </c>
      <c r="T42" s="127">
        <f t="shared" si="12"/>
        <v>0.20663021541829468</v>
      </c>
      <c r="U42" s="13">
        <f t="shared" si="5"/>
        <v>31.1</v>
      </c>
      <c r="V42" s="193">
        <f t="shared" si="13"/>
        <v>73.74834038786155</v>
      </c>
      <c r="W42" s="162">
        <f t="shared" si="6"/>
        <v>489.99999999999994</v>
      </c>
      <c r="X42" s="162">
        <f t="shared" si="14"/>
        <v>68.61544418636389</v>
      </c>
      <c r="Y42" s="162">
        <f t="shared" si="16"/>
        <v>-73.74834038786155</v>
      </c>
      <c r="Z42" s="162">
        <f>AI42</f>
        <v>-79.19510788657959</v>
      </c>
      <c r="AA42" s="163"/>
      <c r="AH42" s="200">
        <f>A42</f>
        <v>489.99999999999994</v>
      </c>
      <c r="AI42" s="162">
        <f>-AI274</f>
        <v>-79.19510788657959</v>
      </c>
      <c r="AJ42" s="199">
        <f t="shared" si="3"/>
        <v>489.99999999999994</v>
      </c>
    </row>
    <row r="43" spans="1:36" ht="12">
      <c r="A43" s="85">
        <f>E11*500*0.75</f>
        <v>525</v>
      </c>
      <c r="B43" s="88">
        <f t="shared" si="7"/>
        <v>614.1394683609851</v>
      </c>
      <c r="C43" s="85">
        <f>A43</f>
        <v>525</v>
      </c>
      <c r="D43" s="208">
        <f>57.3*((3.3*H18/10000/(H13*H13/1000000*A43*A43/1000000+(H17*H17/10000)))-0.018)</f>
        <v>6.281419413371995</v>
      </c>
      <c r="E43" s="208">
        <f>57.3*ATAN(0.01*H17/(H13/1000*(A43/1000)))</f>
        <v>4.265818972040198</v>
      </c>
      <c r="F43" s="93">
        <f t="shared" si="17"/>
        <v>10.547238385412193</v>
      </c>
      <c r="G43" s="87">
        <f>H13/60*2*3.14159*A43/1000</f>
        <v>156.0035792472689</v>
      </c>
      <c r="H43" s="89">
        <f>F43-H49</f>
        <v>10.547238385412193</v>
      </c>
      <c r="I43" s="207">
        <f>H13/60*B43/1000*3.6</f>
        <v>104.5599259934294</v>
      </c>
      <c r="J43" s="100">
        <f>N43*K43</f>
        <v>147.46602125012657</v>
      </c>
      <c r="K43" s="101">
        <f t="shared" si="8"/>
        <v>0.9831068083341772</v>
      </c>
      <c r="L43" s="102">
        <f t="shared" si="9"/>
        <v>0.9831068083341772</v>
      </c>
      <c r="M43" s="102">
        <v>1</v>
      </c>
      <c r="N43" s="103">
        <f>E21*1000*M43</f>
        <v>150</v>
      </c>
      <c r="O43" s="100">
        <f>O44+((O37-O46)/16)</f>
        <v>18.435000000000002</v>
      </c>
      <c r="P43" s="104">
        <v>13</v>
      </c>
      <c r="Q43" s="105">
        <f t="shared" si="10"/>
        <v>525</v>
      </c>
      <c r="R43" s="106">
        <f>ROUND(O43*R33,1)</f>
        <v>20.3</v>
      </c>
      <c r="S43" s="126">
        <f t="shared" si="11"/>
        <v>0.18303279325571006</v>
      </c>
      <c r="T43" s="127">
        <f t="shared" si="12"/>
        <v>0.18303279325571006</v>
      </c>
      <c r="U43" s="23">
        <f t="shared" si="5"/>
        <v>27.5</v>
      </c>
      <c r="V43" s="193">
        <f>J44/2</f>
        <v>73.62303302856725</v>
      </c>
      <c r="W43" s="162">
        <f>Q44</f>
        <v>560</v>
      </c>
      <c r="X43" s="162">
        <f>AI36</f>
        <v>67.79592873783686</v>
      </c>
      <c r="Y43" s="162">
        <f t="shared" si="16"/>
        <v>-73.62303302856725</v>
      </c>
      <c r="Z43" s="162">
        <f>AI41</f>
        <v>-79.66506518099533</v>
      </c>
      <c r="AA43" s="163"/>
      <c r="AH43" s="200">
        <f>A41</f>
        <v>420</v>
      </c>
      <c r="AI43" s="162">
        <f>-AI252</f>
        <v>-77.35080387454661</v>
      </c>
      <c r="AJ43" s="199">
        <f t="shared" si="3"/>
        <v>420</v>
      </c>
    </row>
    <row r="44" spans="1:36" ht="12">
      <c r="A44" s="85">
        <f>E11*500*0.8</f>
        <v>560</v>
      </c>
      <c r="B44" s="88">
        <f t="shared" si="7"/>
        <v>582.4719236908892</v>
      </c>
      <c r="C44" s="85">
        <f t="shared" si="15"/>
        <v>560</v>
      </c>
      <c r="D44" s="208">
        <f>57.3*((3.3*H18/10000/(H13*H13/1000000*A44*A44/1000000+(H17*H17/10000)))-0.018)</f>
        <v>5.40019125874267</v>
      </c>
      <c r="E44" s="208">
        <f>57.3*ATAN(0.01*H17/(H13/1000*(A44/1000)))</f>
        <v>4.000099338783071</v>
      </c>
      <c r="F44" s="93">
        <f t="shared" si="17"/>
        <v>9.400290597525741</v>
      </c>
      <c r="G44" s="87">
        <f>H13/60*2*3.14159*A44/1000</f>
        <v>166.4038178637535</v>
      </c>
      <c r="H44" s="89">
        <f>F44-H49</f>
        <v>9.400290597525741</v>
      </c>
      <c r="I44" s="207">
        <f>H13/60*B44/1000*3.6</f>
        <v>99.1683882439738</v>
      </c>
      <c r="J44" s="100">
        <f>N44*K44</f>
        <v>147.2460660571345</v>
      </c>
      <c r="K44" s="101">
        <f t="shared" si="8"/>
        <v>0.986573306915474</v>
      </c>
      <c r="L44" s="102">
        <f t="shared" si="9"/>
        <v>0.986573306915474</v>
      </c>
      <c r="M44" s="102">
        <v>0.995</v>
      </c>
      <c r="N44" s="103">
        <f>E21*1000*M44</f>
        <v>149.25</v>
      </c>
      <c r="O44" s="100">
        <f>O45+((O37-O46)/8)</f>
        <v>17.1</v>
      </c>
      <c r="P44" s="104">
        <v>12</v>
      </c>
      <c r="Q44" s="105">
        <f t="shared" si="10"/>
        <v>560</v>
      </c>
      <c r="R44" s="106">
        <f>ROUND(O44*R33,1)</f>
        <v>18.8</v>
      </c>
      <c r="S44" s="126">
        <f t="shared" si="11"/>
        <v>0.1633190438432274</v>
      </c>
      <c r="T44" s="127">
        <f t="shared" si="12"/>
        <v>0.1633190438432274</v>
      </c>
      <c r="U44" s="13">
        <f t="shared" si="5"/>
        <v>24.4</v>
      </c>
      <c r="V44" s="193">
        <f>J45/2</f>
        <v>73.59572290177631</v>
      </c>
      <c r="W44" s="162">
        <f>Q45</f>
        <v>630</v>
      </c>
      <c r="X44" s="162">
        <f>AI37</f>
        <v>67.28921739141788</v>
      </c>
      <c r="Y44" s="162">
        <f t="shared" si="16"/>
        <v>-73.59572290177631</v>
      </c>
      <c r="Z44" s="162">
        <f>AI40</f>
        <v>-80.04965776130943</v>
      </c>
      <c r="AA44" s="163"/>
      <c r="AH44" s="200">
        <f>A40</f>
        <v>350</v>
      </c>
      <c r="AI44" s="162">
        <f>-AI229</f>
        <v>-73.01339270454332</v>
      </c>
      <c r="AJ44" s="199">
        <f t="shared" si="3"/>
        <v>350</v>
      </c>
    </row>
    <row r="45" spans="1:36" ht="12">
      <c r="A45" s="85">
        <f>E11*500*0.9</f>
        <v>630</v>
      </c>
      <c r="B45" s="88">
        <f t="shared" si="7"/>
        <v>528.9964010998871</v>
      </c>
      <c r="C45" s="85">
        <f t="shared" si="15"/>
        <v>630</v>
      </c>
      <c r="D45" s="208">
        <f>57.3*((3.3*H18/10000/(H13*H13/1000000*A45*A45/1000000+(H17*H17/10000)))-0.018)</f>
        <v>4.05554566524501</v>
      </c>
      <c r="E45" s="208">
        <f>57.3*ATAN(0.01*H17/(H13/1000*(A45/1000)))</f>
        <v>3.5568556712912502</v>
      </c>
      <c r="F45" s="93">
        <f t="shared" si="17"/>
        <v>7.61240133653626</v>
      </c>
      <c r="G45" s="87">
        <f>H13/60*2*3.14159*A45/1000</f>
        <v>187.2042950967227</v>
      </c>
      <c r="H45" s="89">
        <f>F45-H49</f>
        <v>7.61240133653626</v>
      </c>
      <c r="I45" s="207">
        <f>H13/60*B45/1000*3.6</f>
        <v>90.06394703374274</v>
      </c>
      <c r="J45" s="100">
        <f>N45*K45</f>
        <v>147.19144580355263</v>
      </c>
      <c r="K45" s="101">
        <f t="shared" si="8"/>
        <v>0.9911881872293106</v>
      </c>
      <c r="L45" s="102">
        <f t="shared" si="9"/>
        <v>0.9911881872293106</v>
      </c>
      <c r="M45" s="102">
        <v>0.99</v>
      </c>
      <c r="N45" s="103">
        <f>E21*1000*M45</f>
        <v>148.5</v>
      </c>
      <c r="O45" s="100">
        <f>O46+((O37-O46)/8)</f>
        <v>14.43</v>
      </c>
      <c r="P45" s="104">
        <v>10</v>
      </c>
      <c r="Q45" s="105">
        <f t="shared" si="10"/>
        <v>630</v>
      </c>
      <c r="R45" s="106">
        <f>ROUND(O45*R33,1)</f>
        <v>15.9</v>
      </c>
      <c r="S45" s="126">
        <f t="shared" si="11"/>
        <v>0.13246123016593667</v>
      </c>
      <c r="T45" s="127">
        <f t="shared" si="12"/>
        <v>0.13246123016593667</v>
      </c>
      <c r="U45" s="13">
        <f t="shared" si="5"/>
        <v>19.7</v>
      </c>
      <c r="V45" s="193">
        <f>J46/2</f>
        <v>73.05704076252752</v>
      </c>
      <c r="W45" s="162">
        <f>Q46</f>
        <v>700</v>
      </c>
      <c r="X45" s="162">
        <f>AI38</f>
        <v>66.45839885440853</v>
      </c>
      <c r="Y45" s="162">
        <f t="shared" si="16"/>
        <v>-73.05704076252752</v>
      </c>
      <c r="Z45" s="162">
        <f>AI39</f>
        <v>-79.75467137418522</v>
      </c>
      <c r="AA45" s="163"/>
      <c r="AH45" s="200">
        <f>A39</f>
        <v>280</v>
      </c>
      <c r="AI45" s="162">
        <f>-AI206</f>
        <v>-67.52002680232748</v>
      </c>
      <c r="AJ45" s="199">
        <f t="shared" si="3"/>
        <v>280</v>
      </c>
    </row>
    <row r="46" spans="1:36" ht="12">
      <c r="A46" s="85">
        <f>E11*500</f>
        <v>700</v>
      </c>
      <c r="B46" s="88">
        <f t="shared" si="7"/>
        <v>485.0658384988998</v>
      </c>
      <c r="C46" s="85">
        <f t="shared" si="15"/>
        <v>700</v>
      </c>
      <c r="D46" s="208">
        <f>57.3*((3.3*H18/10000/(H13*H13/1000000*A46*A46/1000000+(H17*H17/10000)))-0.018)</f>
        <v>3.0920409292988635</v>
      </c>
      <c r="E46" s="208">
        <f>57.3*ATAN(0.01*H17/(H13/1000*(A46/1000)))</f>
        <v>3.2019510488483456</v>
      </c>
      <c r="F46" s="93">
        <f t="shared" si="17"/>
        <v>6.29399197814721</v>
      </c>
      <c r="G46" s="87">
        <f>H13/60*2*3.14159*A46/1000</f>
        <v>208.00477232969186</v>
      </c>
      <c r="H46" s="89">
        <f>F46-H49</f>
        <v>6.29399197814721</v>
      </c>
      <c r="I46" s="207">
        <f>H13/60*B46/1000*3.6</f>
        <v>82.58457693778107</v>
      </c>
      <c r="J46" s="100">
        <f>N46*K46</f>
        <v>146.11408152505504</v>
      </c>
      <c r="K46" s="101">
        <f t="shared" si="8"/>
        <v>0.9939733437078574</v>
      </c>
      <c r="L46" s="102">
        <f t="shared" si="9"/>
        <v>0.9939733437078574</v>
      </c>
      <c r="M46" s="102">
        <v>0.98</v>
      </c>
      <c r="N46" s="103">
        <f>E21*1000*M46</f>
        <v>147</v>
      </c>
      <c r="O46" s="100">
        <f>8*N46/100</f>
        <v>11.76</v>
      </c>
      <c r="P46" s="104">
        <v>8</v>
      </c>
      <c r="Q46" s="105">
        <f t="shared" si="10"/>
        <v>700</v>
      </c>
      <c r="R46" s="106">
        <f>ROUND(O46*R33,1)</f>
        <v>12.9</v>
      </c>
      <c r="S46" s="126">
        <f t="shared" si="11"/>
        <v>0.10962204157112594</v>
      </c>
      <c r="T46" s="127">
        <f t="shared" si="12"/>
        <v>0.10962204157112594</v>
      </c>
      <c r="U46" s="13">
        <f t="shared" si="5"/>
        <v>16.1</v>
      </c>
      <c r="V46" s="193"/>
      <c r="W46" s="162"/>
      <c r="X46" s="162"/>
      <c r="Y46" s="162"/>
      <c r="Z46" s="162"/>
      <c r="AA46" s="163"/>
      <c r="AH46" s="200">
        <f>A38</f>
        <v>210</v>
      </c>
      <c r="AI46" s="162">
        <f>-AI163</f>
        <v>-64.19656543331463</v>
      </c>
      <c r="AJ46" s="199">
        <f t="shared" si="3"/>
        <v>210</v>
      </c>
    </row>
    <row r="47" spans="1:36" ht="12">
      <c r="A47" s="50"/>
      <c r="B47" s="15"/>
      <c r="C47" s="50"/>
      <c r="D47" s="50"/>
      <c r="E47" s="50"/>
      <c r="F47" s="15"/>
      <c r="G47" s="15"/>
      <c r="H47" s="15"/>
      <c r="I47" s="15"/>
      <c r="J47" s="19"/>
      <c r="N47" s="20"/>
      <c r="O47" s="19"/>
      <c r="P47" s="19"/>
      <c r="Q47" s="16"/>
      <c r="S47" s="24"/>
      <c r="T47" s="24"/>
      <c r="V47" s="193"/>
      <c r="W47" s="162"/>
      <c r="X47" s="162"/>
      <c r="Y47" s="162"/>
      <c r="Z47" s="162"/>
      <c r="AA47" s="163"/>
      <c r="AH47" s="200">
        <f>A37</f>
        <v>140</v>
      </c>
      <c r="AI47" s="162">
        <f>-AI125</f>
        <v>-60.8684313232698</v>
      </c>
      <c r="AJ47" s="199">
        <f t="shared" si="3"/>
        <v>140</v>
      </c>
    </row>
    <row r="48" spans="1:36" ht="13.5" thickBot="1">
      <c r="A48" s="50"/>
      <c r="B48" s="15"/>
      <c r="C48" s="50"/>
      <c r="D48" s="50"/>
      <c r="E48" s="50"/>
      <c r="F48" s="15"/>
      <c r="G48" s="139" t="s">
        <v>33</v>
      </c>
      <c r="H48" s="135" t="s">
        <v>86</v>
      </c>
      <c r="I48" s="136" t="s">
        <v>101</v>
      </c>
      <c r="S48" s="24"/>
      <c r="T48" s="24"/>
      <c r="V48" s="194"/>
      <c r="W48" s="181"/>
      <c r="X48" s="181"/>
      <c r="Y48" s="181"/>
      <c r="Z48" s="195"/>
      <c r="AA48" s="182"/>
      <c r="AH48" s="200">
        <f>A36</f>
        <v>100</v>
      </c>
      <c r="AI48" s="162">
        <f>-AI90</f>
        <v>-58.51446900391291</v>
      </c>
      <c r="AJ48" s="199">
        <f t="shared" si="3"/>
        <v>100</v>
      </c>
    </row>
    <row r="49" spans="1:36" ht="12.75" thickBot="1">
      <c r="A49" s="132"/>
      <c r="B49" s="133"/>
      <c r="C49" s="50"/>
      <c r="D49" s="134"/>
      <c r="E49" s="50"/>
      <c r="F49" s="15"/>
      <c r="G49" s="140" t="s">
        <v>34</v>
      </c>
      <c r="H49" s="220">
        <v>0</v>
      </c>
      <c r="I49" s="15" t="s">
        <v>102</v>
      </c>
      <c r="S49" s="21"/>
      <c r="T49" s="21"/>
      <c r="AE49" s="13"/>
      <c r="AH49" s="200">
        <f>A36</f>
        <v>100</v>
      </c>
      <c r="AI49" s="162">
        <v>-15</v>
      </c>
      <c r="AJ49" s="199">
        <f t="shared" si="3"/>
        <v>100</v>
      </c>
    </row>
    <row r="50" spans="1:36" ht="12">
      <c r="A50" s="132"/>
      <c r="B50" s="133"/>
      <c r="C50" s="132"/>
      <c r="D50" s="54"/>
      <c r="E50" s="50"/>
      <c r="F50" s="15"/>
      <c r="G50" s="15"/>
      <c r="H50" s="15">
        <v>22</v>
      </c>
      <c r="I50" s="15" t="s">
        <v>126</v>
      </c>
      <c r="U50" s="13"/>
      <c r="AH50" s="200">
        <v>10</v>
      </c>
      <c r="AI50" s="162">
        <v>-15</v>
      </c>
      <c r="AJ50" s="199">
        <f t="shared" si="3"/>
        <v>10</v>
      </c>
    </row>
    <row r="51" spans="1:36" ht="12">
      <c r="A51" s="13"/>
      <c r="B51" s="19"/>
      <c r="C51" s="13"/>
      <c r="D51" s="7"/>
      <c r="I51" s="110" t="s">
        <v>127</v>
      </c>
      <c r="S51" s="19"/>
      <c r="T51" s="19"/>
      <c r="U51" s="3"/>
      <c r="AH51" s="200">
        <v>10</v>
      </c>
      <c r="AI51" s="162">
        <v>15</v>
      </c>
      <c r="AJ51" s="199">
        <f t="shared" si="3"/>
        <v>10</v>
      </c>
    </row>
    <row r="52" spans="1:36" ht="12">
      <c r="A52" s="19" t="s">
        <v>99</v>
      </c>
      <c r="C52" s="13"/>
      <c r="D52" s="7"/>
      <c r="S52" s="19"/>
      <c r="T52" s="19"/>
      <c r="U52" s="3"/>
      <c r="V52" s="14"/>
      <c r="W52" s="14"/>
      <c r="X52" s="14"/>
      <c r="AH52" s="200"/>
      <c r="AI52" s="162"/>
      <c r="AJ52" s="201"/>
    </row>
    <row r="53" spans="1:36" ht="12">
      <c r="A53" s="19" t="s">
        <v>100</v>
      </c>
      <c r="C53" s="13"/>
      <c r="D53" s="7"/>
      <c r="S53" s="19"/>
      <c r="T53" s="19"/>
      <c r="U53" s="3"/>
      <c r="V53" s="14"/>
      <c r="W53" s="14"/>
      <c r="X53" s="14"/>
      <c r="AH53" s="200"/>
      <c r="AI53" s="162"/>
      <c r="AJ53" s="201"/>
    </row>
    <row r="54" spans="1:36" ht="13.5" thickBot="1">
      <c r="A54" s="1"/>
      <c r="B54" s="33" t="s">
        <v>104</v>
      </c>
      <c r="C54" s="1"/>
      <c r="E54" s="111" t="s">
        <v>109</v>
      </c>
      <c r="F54" s="7"/>
      <c r="H54" s="2" t="s">
        <v>114</v>
      </c>
      <c r="S54" s="19"/>
      <c r="T54" s="19"/>
      <c r="U54" s="3"/>
      <c r="V54" s="14"/>
      <c r="W54" s="14"/>
      <c r="X54" s="14"/>
      <c r="AH54" s="200"/>
      <c r="AI54" s="162"/>
      <c r="AJ54" s="201"/>
    </row>
    <row r="55" spans="2:36" ht="12.75" thickBot="1">
      <c r="B55" s="221">
        <v>0</v>
      </c>
      <c r="E55" s="111" t="s">
        <v>1</v>
      </c>
      <c r="F55" s="7" t="s">
        <v>111</v>
      </c>
      <c r="G55" s="143" t="s">
        <v>110</v>
      </c>
      <c r="H55" s="4" t="s">
        <v>115</v>
      </c>
      <c r="I55" s="4"/>
      <c r="S55" s="19"/>
      <c r="T55" s="19"/>
      <c r="U55" s="3"/>
      <c r="V55" s="14"/>
      <c r="W55" s="14"/>
      <c r="X55" s="14"/>
      <c r="AH55" s="202"/>
      <c r="AI55" s="181"/>
      <c r="AJ55" s="203"/>
    </row>
    <row r="56" spans="1:34" ht="15">
      <c r="A56" s="128" t="s">
        <v>73</v>
      </c>
      <c r="B56" s="129" t="s">
        <v>73</v>
      </c>
      <c r="C56" s="92" t="s">
        <v>103</v>
      </c>
      <c r="D56" s="107" t="s">
        <v>105</v>
      </c>
      <c r="E56" s="92" t="s">
        <v>107</v>
      </c>
      <c r="F56" s="107" t="s">
        <v>108</v>
      </c>
      <c r="G56" s="107" t="s">
        <v>12</v>
      </c>
      <c r="H56" s="107" t="s">
        <v>116</v>
      </c>
      <c r="J56" s="227" t="s">
        <v>136</v>
      </c>
      <c r="K56" s="228" t="s">
        <v>137</v>
      </c>
      <c r="S56" s="19"/>
      <c r="T56" s="19"/>
      <c r="U56" s="3"/>
      <c r="V56" s="14"/>
      <c r="W56" s="14"/>
      <c r="X56" s="14"/>
      <c r="AH56" s="22"/>
    </row>
    <row r="57" spans="1:34" ht="12">
      <c r="A57" s="145">
        <f>F36</f>
        <v>33.45434285962116</v>
      </c>
      <c r="B57" s="145">
        <f>A57+B55</f>
        <v>33.45434285962116</v>
      </c>
      <c r="C57" s="146">
        <f>TAN(B57/57.3)</f>
        <v>0.6606784150455784</v>
      </c>
      <c r="D57" s="108">
        <f>A36</f>
        <v>100</v>
      </c>
      <c r="E57" s="147">
        <f aca="true" t="shared" si="18" ref="E57:E67">C57*D57*2*3.14159</f>
        <v>415.1161403846078</v>
      </c>
      <c r="F57" s="147">
        <f>E57-B36</f>
        <v>0</v>
      </c>
      <c r="G57" s="145">
        <f>F57/B36*100</f>
        <v>0</v>
      </c>
      <c r="H57" s="210">
        <f>4.8*((B57-E36)/57.3+0.0175)</f>
        <v>1.0950072455318285</v>
      </c>
      <c r="I57" s="82" t="s">
        <v>120</v>
      </c>
      <c r="J57" s="11">
        <f>R36*0.12</f>
        <v>4.812</v>
      </c>
      <c r="K57" s="11">
        <f>R36*0.09</f>
        <v>3.609</v>
      </c>
      <c r="L57" s="11"/>
      <c r="M57" s="11"/>
      <c r="S57" s="19"/>
      <c r="T57" s="19"/>
      <c r="U57" s="3"/>
      <c r="V57" s="14"/>
      <c r="W57" s="14"/>
      <c r="X57" s="14"/>
      <c r="AH57" s="22"/>
    </row>
    <row r="58" spans="1:34" ht="12">
      <c r="A58" s="145">
        <f aca="true" t="shared" si="19" ref="A58:A67">F37</f>
        <v>30.92157609813131</v>
      </c>
      <c r="B58" s="145">
        <f>A58+B55</f>
        <v>30.92157609813131</v>
      </c>
      <c r="C58" s="146">
        <f aca="true" t="shared" si="20" ref="C58:C67">TAN(B58/57.3)</f>
        <v>0.5989452147032708</v>
      </c>
      <c r="D58" s="108">
        <f aca="true" t="shared" si="21" ref="D58:D67">A37</f>
        <v>140</v>
      </c>
      <c r="E58" s="147">
        <f t="shared" si="18"/>
        <v>526.8592831767015</v>
      </c>
      <c r="F58" s="147">
        <f aca="true" t="shared" si="22" ref="F58:F67">E58-B37</f>
        <v>0</v>
      </c>
      <c r="G58" s="145">
        <f aca="true" t="shared" si="23" ref="G58:G67">F58/B37*100</f>
        <v>0</v>
      </c>
      <c r="H58" s="210">
        <f aca="true" t="shared" si="24" ref="H58:H67">4.8*((B58-E37)/57.3+0.0175)</f>
        <v>1.3652114644673397</v>
      </c>
      <c r="I58" s="148" t="s">
        <v>117</v>
      </c>
      <c r="J58" s="11">
        <f aca="true" t="shared" si="25" ref="J58:J67">R37*0.12</f>
        <v>4.367999999999999</v>
      </c>
      <c r="K58" s="11">
        <f aca="true" t="shared" si="26" ref="K58:K67">R37*0.09</f>
        <v>3.276</v>
      </c>
      <c r="L58" s="11"/>
      <c r="M58" s="11"/>
      <c r="S58" s="19"/>
      <c r="T58" s="19"/>
      <c r="U58" s="3"/>
      <c r="V58" s="14"/>
      <c r="W58" s="14"/>
      <c r="X58" s="14"/>
      <c r="AH58" s="22"/>
    </row>
    <row r="59" spans="1:34" ht="12">
      <c r="A59" s="145">
        <f t="shared" si="19"/>
        <v>27.122425955896546</v>
      </c>
      <c r="B59" s="145">
        <f>B55+A59</f>
        <v>27.122425955896546</v>
      </c>
      <c r="C59" s="146">
        <f t="shared" si="20"/>
        <v>0.5121758401579956</v>
      </c>
      <c r="D59" s="108">
        <f t="shared" si="21"/>
        <v>210</v>
      </c>
      <c r="E59" s="147">
        <f t="shared" si="18"/>
        <v>675.7995290264221</v>
      </c>
      <c r="F59" s="147">
        <f t="shared" si="22"/>
        <v>0</v>
      </c>
      <c r="G59" s="145">
        <f t="shared" si="23"/>
        <v>0</v>
      </c>
      <c r="H59" s="210">
        <f t="shared" si="24"/>
        <v>1.4711779201281248</v>
      </c>
      <c r="I59" s="148" t="s">
        <v>118</v>
      </c>
      <c r="J59" s="11">
        <f t="shared" si="25"/>
        <v>4.02</v>
      </c>
      <c r="K59" s="11">
        <f t="shared" si="26"/>
        <v>3.0149999999999997</v>
      </c>
      <c r="S59" s="19"/>
      <c r="T59" s="19"/>
      <c r="U59" s="3"/>
      <c r="V59" s="14"/>
      <c r="W59" s="14"/>
      <c r="X59" s="14"/>
      <c r="AH59" s="22"/>
    </row>
    <row r="60" spans="1:34" ht="12">
      <c r="A60" s="145">
        <f t="shared" si="19"/>
        <v>23.32327581366178</v>
      </c>
      <c r="B60" s="145">
        <f>B55+A60</f>
        <v>23.32327581366178</v>
      </c>
      <c r="C60" s="146">
        <f t="shared" si="20"/>
        <v>0.4311141547239872</v>
      </c>
      <c r="D60" s="108">
        <f t="shared" si="21"/>
        <v>280</v>
      </c>
      <c r="E60" s="147">
        <f t="shared" si="18"/>
        <v>758.4549937100253</v>
      </c>
      <c r="F60" s="147">
        <f t="shared" si="22"/>
        <v>0</v>
      </c>
      <c r="G60" s="145">
        <f t="shared" si="23"/>
        <v>0</v>
      </c>
      <c r="H60" s="210">
        <f t="shared" si="24"/>
        <v>1.370843111631904</v>
      </c>
      <c r="I60" s="149" t="s">
        <v>24</v>
      </c>
      <c r="J60" s="11">
        <f t="shared" si="25"/>
        <v>3.672</v>
      </c>
      <c r="K60" s="11">
        <f t="shared" si="26"/>
        <v>2.754</v>
      </c>
      <c r="S60" s="19"/>
      <c r="T60" s="19"/>
      <c r="U60" s="3"/>
      <c r="V60" s="14"/>
      <c r="W60" s="14"/>
      <c r="X60" s="14"/>
      <c r="AH60" s="22"/>
    </row>
    <row r="61" spans="1:34" ht="12">
      <c r="A61" s="131">
        <f t="shared" si="19"/>
        <v>19.524125671427015</v>
      </c>
      <c r="B61" s="137">
        <f>B55+A61</f>
        <v>19.524125671427015</v>
      </c>
      <c r="C61" s="138">
        <f t="shared" si="20"/>
        <v>0.3545642634688525</v>
      </c>
      <c r="D61" s="130">
        <f t="shared" si="21"/>
        <v>350</v>
      </c>
      <c r="E61" s="88">
        <f t="shared" si="18"/>
        <v>779.7268811297787</v>
      </c>
      <c r="F61" s="142">
        <f t="shared" si="22"/>
        <v>0</v>
      </c>
      <c r="G61" s="131">
        <f t="shared" si="23"/>
        <v>0</v>
      </c>
      <c r="H61" s="211">
        <f t="shared" si="24"/>
        <v>1.1847410765706448</v>
      </c>
      <c r="I61" s="82"/>
      <c r="J61" s="11">
        <f t="shared" si="25"/>
        <v>3.312</v>
      </c>
      <c r="K61" s="11">
        <f t="shared" si="26"/>
        <v>2.484</v>
      </c>
      <c r="S61" s="19"/>
      <c r="T61" s="19"/>
      <c r="U61" s="3"/>
      <c r="V61" s="14"/>
      <c r="W61" s="14"/>
      <c r="X61" s="14"/>
      <c r="AH61" s="22"/>
    </row>
    <row r="62" spans="1:34" ht="12">
      <c r="A62" s="131">
        <f t="shared" si="19"/>
        <v>15.686182912084355</v>
      </c>
      <c r="B62" s="137">
        <f>B55+A62</f>
        <v>15.686182912084355</v>
      </c>
      <c r="C62" s="138">
        <f t="shared" si="20"/>
        <v>0.28080537810022227</v>
      </c>
      <c r="D62" s="130">
        <f t="shared" si="21"/>
        <v>420</v>
      </c>
      <c r="E62" s="88">
        <f t="shared" si="18"/>
        <v>741.0273089401369</v>
      </c>
      <c r="F62" s="142">
        <f t="shared" si="22"/>
        <v>0</v>
      </c>
      <c r="G62" s="131">
        <f t="shared" si="23"/>
        <v>0</v>
      </c>
      <c r="H62" s="211">
        <f t="shared" si="24"/>
        <v>0.9518059906062795</v>
      </c>
      <c r="I62" s="148"/>
      <c r="J62" s="11">
        <f t="shared" si="25"/>
        <v>2.964</v>
      </c>
      <c r="K62" s="11">
        <f t="shared" si="26"/>
        <v>2.223</v>
      </c>
      <c r="S62" s="19"/>
      <c r="T62" s="19"/>
      <c r="U62" s="3"/>
      <c r="V62" s="14"/>
      <c r="W62" s="14"/>
      <c r="X62" s="14"/>
      <c r="AH62" s="22"/>
    </row>
    <row r="63" spans="1:34" ht="12">
      <c r="A63" s="131">
        <f t="shared" si="19"/>
        <v>11.925825386957483</v>
      </c>
      <c r="B63" s="137">
        <f>B55+A63</f>
        <v>11.925825386957483</v>
      </c>
      <c r="C63" s="138">
        <f t="shared" si="20"/>
        <v>0.21118783697697222</v>
      </c>
      <c r="D63" s="130">
        <f t="shared" si="21"/>
        <v>489.99999999999994</v>
      </c>
      <c r="E63" s="88">
        <f t="shared" si="18"/>
        <v>650.1962848331164</v>
      </c>
      <c r="F63" s="142">
        <f>E63-B42</f>
        <v>0</v>
      </c>
      <c r="G63" s="131">
        <f t="shared" si="23"/>
        <v>0</v>
      </c>
      <c r="H63" s="211">
        <f t="shared" si="24"/>
        <v>0.7002556989788506</v>
      </c>
      <c r="I63" s="148" t="s">
        <v>117</v>
      </c>
      <c r="J63" s="11">
        <f t="shared" si="25"/>
        <v>2.6039999999999996</v>
      </c>
      <c r="K63" s="11">
        <f t="shared" si="26"/>
        <v>1.9529999999999998</v>
      </c>
      <c r="S63" s="19"/>
      <c r="T63" s="19"/>
      <c r="U63" s="3"/>
      <c r="V63" s="14"/>
      <c r="W63" s="14"/>
      <c r="X63" s="14"/>
      <c r="AH63" s="22"/>
    </row>
    <row r="64" spans="1:34" ht="12">
      <c r="A64" s="131">
        <f t="shared" si="19"/>
        <v>10.547238385412193</v>
      </c>
      <c r="B64" s="137">
        <f>B55+A64</f>
        <v>10.547238385412193</v>
      </c>
      <c r="C64" s="138">
        <f t="shared" si="20"/>
        <v>0.18617793275773314</v>
      </c>
      <c r="D64" s="130">
        <f t="shared" si="21"/>
        <v>525</v>
      </c>
      <c r="E64" s="88">
        <f t="shared" si="18"/>
        <v>614.1394683609851</v>
      </c>
      <c r="F64" s="142">
        <f t="shared" si="22"/>
        <v>0</v>
      </c>
      <c r="G64" s="131">
        <f t="shared" si="23"/>
        <v>0</v>
      </c>
      <c r="H64" s="211">
        <f t="shared" si="24"/>
        <v>0.6101922021672875</v>
      </c>
      <c r="I64" s="148" t="s">
        <v>119</v>
      </c>
      <c r="J64" s="11">
        <f t="shared" si="25"/>
        <v>2.436</v>
      </c>
      <c r="K64" s="11">
        <f t="shared" si="26"/>
        <v>1.827</v>
      </c>
      <c r="S64" s="19"/>
      <c r="T64" s="19"/>
      <c r="U64" s="3"/>
      <c r="V64" s="14"/>
      <c r="W64" s="14"/>
      <c r="X64" s="14"/>
      <c r="AH64" s="22"/>
    </row>
    <row r="65" spans="1:34" ht="12">
      <c r="A65" s="131">
        <f t="shared" si="19"/>
        <v>9.400290597525741</v>
      </c>
      <c r="B65" s="137">
        <f>B55+A65</f>
        <v>9.400290597525741</v>
      </c>
      <c r="C65" s="138">
        <f t="shared" si="20"/>
        <v>0.16554172173362885</v>
      </c>
      <c r="D65" s="130">
        <f t="shared" si="21"/>
        <v>560</v>
      </c>
      <c r="E65" s="88">
        <f t="shared" si="18"/>
        <v>582.4719236908892</v>
      </c>
      <c r="F65" s="142">
        <f t="shared" si="22"/>
        <v>0</v>
      </c>
      <c r="G65" s="131">
        <f t="shared" si="23"/>
        <v>0</v>
      </c>
      <c r="H65" s="211">
        <f t="shared" si="24"/>
        <v>0.5363720426171871</v>
      </c>
      <c r="I65" s="148" t="s">
        <v>24</v>
      </c>
      <c r="J65" s="11">
        <f t="shared" si="25"/>
        <v>2.256</v>
      </c>
      <c r="K65" s="11">
        <f t="shared" si="26"/>
        <v>1.692</v>
      </c>
      <c r="S65" s="19"/>
      <c r="T65" s="19"/>
      <c r="U65" s="3"/>
      <c r="V65" s="14"/>
      <c r="W65" s="14"/>
      <c r="X65" s="14"/>
      <c r="AH65" s="22"/>
    </row>
    <row r="66" spans="1:34" ht="12">
      <c r="A66" s="131">
        <f t="shared" si="19"/>
        <v>7.61240133653626</v>
      </c>
      <c r="B66" s="137">
        <f>B55+A66</f>
        <v>7.61240133653626</v>
      </c>
      <c r="C66" s="138">
        <f t="shared" si="20"/>
        <v>0.13363883051936726</v>
      </c>
      <c r="D66" s="130">
        <f t="shared" si="21"/>
        <v>630</v>
      </c>
      <c r="E66" s="88">
        <f t="shared" si="18"/>
        <v>528.9964010998871</v>
      </c>
      <c r="F66" s="142">
        <f t="shared" si="22"/>
        <v>0</v>
      </c>
      <c r="G66" s="131">
        <f t="shared" si="23"/>
        <v>0</v>
      </c>
      <c r="H66" s="211">
        <f t="shared" si="24"/>
        <v>0.423731574051938</v>
      </c>
      <c r="I66" s="148"/>
      <c r="J66" s="11">
        <f t="shared" si="25"/>
        <v>1.908</v>
      </c>
      <c r="K66" s="11">
        <f t="shared" si="26"/>
        <v>1.431</v>
      </c>
      <c r="S66" s="19"/>
      <c r="T66" s="19"/>
      <c r="U66" s="3"/>
      <c r="V66" s="14"/>
      <c r="W66" s="14"/>
      <c r="X66" s="14"/>
      <c r="AH66" s="22"/>
    </row>
    <row r="67" spans="1:34" ht="12">
      <c r="A67" s="131">
        <f t="shared" si="19"/>
        <v>6.29399197814721</v>
      </c>
      <c r="B67" s="137">
        <f>B55+A67</f>
        <v>6.29399197814721</v>
      </c>
      <c r="C67" s="138">
        <f t="shared" si="20"/>
        <v>0.11028670161535578</v>
      </c>
      <c r="D67" s="130">
        <f t="shared" si="21"/>
        <v>700</v>
      </c>
      <c r="E67" s="88">
        <f t="shared" si="18"/>
        <v>485.0658384988998</v>
      </c>
      <c r="F67" s="142">
        <f t="shared" si="22"/>
        <v>0</v>
      </c>
      <c r="G67" s="131">
        <f t="shared" si="23"/>
        <v>0</v>
      </c>
      <c r="H67" s="211">
        <f t="shared" si="24"/>
        <v>0.3430191354386483</v>
      </c>
      <c r="I67" s="149"/>
      <c r="J67" s="11">
        <f t="shared" si="25"/>
        <v>1.548</v>
      </c>
      <c r="K67" s="11">
        <f t="shared" si="26"/>
        <v>1.161</v>
      </c>
      <c r="S67" s="19"/>
      <c r="T67" s="19"/>
      <c r="U67" s="3"/>
      <c r="V67" s="14"/>
      <c r="W67" s="14"/>
      <c r="X67" s="14"/>
      <c r="AH67" s="22"/>
    </row>
    <row r="68" spans="1:34" ht="14.25" customHeight="1" thickBot="1">
      <c r="A68" s="13"/>
      <c r="B68" s="19"/>
      <c r="C68" s="13"/>
      <c r="D68" s="7"/>
      <c r="S68" s="19"/>
      <c r="T68" s="19"/>
      <c r="U68" s="3"/>
      <c r="V68" s="14"/>
      <c r="W68" s="14"/>
      <c r="X68" s="14"/>
      <c r="AC68" s="2" t="s">
        <v>123</v>
      </c>
      <c r="AH68" s="22"/>
    </row>
    <row r="69" spans="1:24" ht="12.75" thickBot="1">
      <c r="A69" s="13"/>
      <c r="B69" s="19"/>
      <c r="C69" s="13"/>
      <c r="D69" s="150" t="s">
        <v>121</v>
      </c>
      <c r="E69" s="151">
        <f>SUM(E61:E68)/7</f>
        <v>625.9463009362419</v>
      </c>
      <c r="F69" s="152">
        <f>SUM(F61:F68)/7</f>
        <v>0</v>
      </c>
      <c r="G69" s="153">
        <f>SUM(G61:G68)/7</f>
        <v>0</v>
      </c>
      <c r="S69" s="19"/>
      <c r="T69" s="19"/>
      <c r="U69" s="3"/>
      <c r="V69" s="14"/>
      <c r="W69" s="14"/>
      <c r="X69" s="14"/>
    </row>
    <row r="70" spans="1:37" ht="12">
      <c r="A70" s="13"/>
      <c r="B70" s="19"/>
      <c r="C70" s="13"/>
      <c r="D70" s="7"/>
      <c r="S70" s="19"/>
      <c r="T70" s="19"/>
      <c r="U70" s="3"/>
      <c r="V70" s="14"/>
      <c r="W70" s="14"/>
      <c r="X70" s="14"/>
      <c r="AA70" s="157"/>
      <c r="AB70" s="158"/>
      <c r="AC70" s="158"/>
      <c r="AD70" s="158"/>
      <c r="AE70" s="158"/>
      <c r="AF70" s="158"/>
      <c r="AG70" s="158"/>
      <c r="AH70" s="158"/>
      <c r="AI70" s="159"/>
      <c r="AJ70" s="159"/>
      <c r="AK70" s="160"/>
    </row>
    <row r="71" spans="1:37" ht="12">
      <c r="A71" s="13"/>
      <c r="B71" s="19"/>
      <c r="C71" s="13"/>
      <c r="D71" s="7"/>
      <c r="R71" s="36"/>
      <c r="S71" s="26"/>
      <c r="T71" s="26"/>
      <c r="U71" s="5"/>
      <c r="V71" s="27"/>
      <c r="W71" s="27"/>
      <c r="X71" s="27"/>
      <c r="Y71" s="9"/>
      <c r="Z71" s="9"/>
      <c r="AA71" s="161"/>
      <c r="AB71" s="15"/>
      <c r="AC71" s="15"/>
      <c r="AD71" s="15"/>
      <c r="AE71" s="15"/>
      <c r="AF71" s="15"/>
      <c r="AG71" s="15"/>
      <c r="AH71" s="15"/>
      <c r="AI71" s="162"/>
      <c r="AJ71" s="162"/>
      <c r="AK71" s="163"/>
    </row>
    <row r="72" spans="8:37" ht="12">
      <c r="H72" s="183"/>
      <c r="I72" s="183"/>
      <c r="J72" s="184"/>
      <c r="R72" s="36"/>
      <c r="S72" s="26"/>
      <c r="T72" s="26"/>
      <c r="U72" s="5"/>
      <c r="V72" s="27"/>
      <c r="W72" s="27"/>
      <c r="X72" s="27"/>
      <c r="Y72" s="9"/>
      <c r="Z72" s="9"/>
      <c r="AA72" s="161"/>
      <c r="AB72" s="15"/>
      <c r="AC72" s="15"/>
      <c r="AD72" s="15"/>
      <c r="AE72" s="15"/>
      <c r="AF72" s="15"/>
      <c r="AG72" s="15"/>
      <c r="AH72" s="15"/>
      <c r="AI72" s="162"/>
      <c r="AJ72" s="162"/>
      <c r="AK72" s="163"/>
    </row>
    <row r="73" spans="8:37" ht="12">
      <c r="H73" s="183"/>
      <c r="I73" s="109"/>
      <c r="J73" s="212"/>
      <c r="R73" s="36"/>
      <c r="S73" s="26"/>
      <c r="T73" s="26"/>
      <c r="U73" s="5"/>
      <c r="V73" s="27"/>
      <c r="W73" s="27"/>
      <c r="X73" s="27"/>
      <c r="Y73" s="9"/>
      <c r="Z73" s="9"/>
      <c r="AA73" s="161"/>
      <c r="AB73" s="15"/>
      <c r="AC73" s="15"/>
      <c r="AD73" s="15"/>
      <c r="AE73" s="51" t="s">
        <v>0</v>
      </c>
      <c r="AF73" s="164">
        <f>Q36</f>
        <v>100</v>
      </c>
      <c r="AG73" s="15"/>
      <c r="AH73" s="15"/>
      <c r="AI73" s="162"/>
      <c r="AJ73" s="162"/>
      <c r="AK73" s="163"/>
    </row>
    <row r="74" spans="8:37" ht="12">
      <c r="H74" s="183"/>
      <c r="I74" s="213"/>
      <c r="J74" s="212"/>
      <c r="R74" s="36"/>
      <c r="S74" s="26"/>
      <c r="T74" s="26"/>
      <c r="U74" s="5"/>
      <c r="V74" s="27"/>
      <c r="W74" s="27"/>
      <c r="X74" s="27"/>
      <c r="Y74" s="9"/>
      <c r="Z74" s="9"/>
      <c r="AA74" s="161"/>
      <c r="AB74" s="165" t="s">
        <v>10</v>
      </c>
      <c r="AC74" s="15" t="s">
        <v>20</v>
      </c>
      <c r="AD74" s="15"/>
      <c r="AE74" s="165" t="s">
        <v>11</v>
      </c>
      <c r="AF74" s="166">
        <f>F36</f>
        <v>33.45434285962116</v>
      </c>
      <c r="AG74" s="165" t="s">
        <v>4</v>
      </c>
      <c r="AH74" s="167">
        <f>L36</f>
        <v>0.8343490855915886</v>
      </c>
      <c r="AI74" s="162"/>
      <c r="AJ74" s="162"/>
      <c r="AK74" s="163"/>
    </row>
    <row r="75" spans="8:37" ht="12">
      <c r="H75" s="183"/>
      <c r="I75" s="213"/>
      <c r="J75" s="212"/>
      <c r="R75" s="36"/>
      <c r="S75" s="26"/>
      <c r="T75" s="26"/>
      <c r="U75" s="5"/>
      <c r="V75" s="27"/>
      <c r="W75" s="27"/>
      <c r="X75" s="27"/>
      <c r="Y75" s="9"/>
      <c r="Z75" s="9"/>
      <c r="AA75" s="161"/>
      <c r="AB75" s="15"/>
      <c r="AC75" s="15" t="s">
        <v>22</v>
      </c>
      <c r="AD75" s="15"/>
      <c r="AE75" s="15"/>
      <c r="AF75" s="15"/>
      <c r="AG75" s="165" t="s">
        <v>8</v>
      </c>
      <c r="AH75" s="168">
        <f>T36</f>
        <v>0.5512364314633784</v>
      </c>
      <c r="AI75" s="162"/>
      <c r="AJ75" s="162"/>
      <c r="AK75" s="163"/>
    </row>
    <row r="76" spans="8:37" ht="12">
      <c r="H76" s="183"/>
      <c r="I76" s="213"/>
      <c r="J76" s="212"/>
      <c r="R76" s="36"/>
      <c r="S76" s="26"/>
      <c r="T76" s="26"/>
      <c r="U76" s="5"/>
      <c r="V76" s="27"/>
      <c r="W76" s="27"/>
      <c r="X76" s="27"/>
      <c r="Y76" s="9"/>
      <c r="Z76" s="9">
        <f>Z83</f>
        <v>27.6</v>
      </c>
      <c r="AA76" s="169" t="s">
        <v>12</v>
      </c>
      <c r="AB76" s="165" t="s">
        <v>13</v>
      </c>
      <c r="AC76" s="170">
        <f>N36</f>
        <v>135</v>
      </c>
      <c r="AD76" s="170">
        <f>R36</f>
        <v>40.1</v>
      </c>
      <c r="AE76" s="226">
        <f>AD76/2+AD99</f>
        <v>8.281521739130437</v>
      </c>
      <c r="AF76" s="165"/>
      <c r="AG76" s="165" t="s">
        <v>14</v>
      </c>
      <c r="AH76" s="165" t="s">
        <v>15</v>
      </c>
      <c r="AI76" s="171" t="s">
        <v>16</v>
      </c>
      <c r="AJ76" s="171" t="s">
        <v>17</v>
      </c>
      <c r="AK76" s="163"/>
    </row>
    <row r="77" spans="8:37" ht="12">
      <c r="H77" s="183"/>
      <c r="I77" s="213"/>
      <c r="J77" s="212"/>
      <c r="R77" s="36"/>
      <c r="S77" s="26"/>
      <c r="T77" s="26"/>
      <c r="U77" s="5"/>
      <c r="V77" s="27"/>
      <c r="W77" s="27"/>
      <c r="X77" s="27"/>
      <c r="Y77" s="9"/>
      <c r="Z77" s="9"/>
      <c r="AA77" s="161"/>
      <c r="AB77" s="15"/>
      <c r="AC77" s="172"/>
      <c r="AD77" s="173">
        <v>0</v>
      </c>
      <c r="AE77" s="15"/>
      <c r="AF77" s="15"/>
      <c r="AG77" s="174">
        <f>AC77-(AC85+AC84)/2</f>
        <v>-60.75</v>
      </c>
      <c r="AH77" s="174">
        <f>AD77-AE76</f>
        <v>-8.281521739130437</v>
      </c>
      <c r="AI77" s="174">
        <f>AH74*AG77+AH75*AH77</f>
        <v>-55.25178344025366</v>
      </c>
      <c r="AJ77" s="174">
        <f>AH74*AH77-AH75*AG77</f>
        <v>26.577933121049895</v>
      </c>
      <c r="AK77" s="163"/>
    </row>
    <row r="78" spans="8:37" ht="12">
      <c r="H78" s="183"/>
      <c r="I78" s="213"/>
      <c r="J78" s="212"/>
      <c r="R78" s="36"/>
      <c r="S78" s="26"/>
      <c r="T78" s="26"/>
      <c r="U78" s="5"/>
      <c r="V78" s="27"/>
      <c r="W78" s="27"/>
      <c r="X78" s="27"/>
      <c r="Y78" s="9"/>
      <c r="Z78" s="9"/>
      <c r="AA78" s="161">
        <v>0</v>
      </c>
      <c r="AB78" s="132">
        <v>10</v>
      </c>
      <c r="AC78" s="173">
        <f>AC76*AA78/100</f>
        <v>0</v>
      </c>
      <c r="AD78" s="173">
        <f>AD76*AB78/100</f>
        <v>4.01</v>
      </c>
      <c r="AE78" s="15"/>
      <c r="AF78" s="15"/>
      <c r="AG78" s="174">
        <f>AC78-(AC85+AC84)/2</f>
        <v>-60.75</v>
      </c>
      <c r="AH78" s="174">
        <f>AD78-AE76</f>
        <v>-4.271521739130437</v>
      </c>
      <c r="AI78" s="174">
        <f>AH74*AG78+AH75*AH78</f>
        <v>-53.041325350085515</v>
      </c>
      <c r="AJ78" s="174">
        <f>AH74*AH78-AH75*AG78</f>
        <v>29.923672954272163</v>
      </c>
      <c r="AK78" s="163"/>
    </row>
    <row r="79" spans="5:37" ht="12">
      <c r="E79" s="7"/>
      <c r="F79" s="32"/>
      <c r="H79" s="183"/>
      <c r="I79" s="213"/>
      <c r="J79" s="212"/>
      <c r="R79" s="36"/>
      <c r="S79" s="26"/>
      <c r="T79" s="26"/>
      <c r="U79" s="5"/>
      <c r="V79" s="27"/>
      <c r="W79" s="27"/>
      <c r="X79" s="27">
        <v>4</v>
      </c>
      <c r="Y79" s="9">
        <v>2</v>
      </c>
      <c r="Z79" s="9">
        <f>X79+Y79</f>
        <v>6</v>
      </c>
      <c r="AA79" s="161">
        <v>2.5</v>
      </c>
      <c r="AB79" s="132">
        <v>41</v>
      </c>
      <c r="AC79" s="173">
        <f>AC76*AA79/100</f>
        <v>3.375</v>
      </c>
      <c r="AD79" s="173">
        <f>AD76*AB79/100*X79/Z79</f>
        <v>10.960666666666668</v>
      </c>
      <c r="AE79" s="175"/>
      <c r="AF79" s="175"/>
      <c r="AG79" s="174">
        <f>AC79-(AC85+AC84)/2</f>
        <v>-57.375</v>
      </c>
      <c r="AH79" s="174">
        <f>AD79-AE76</f>
        <v>2.679144927536232</v>
      </c>
      <c r="AI79" s="174">
        <f>AH74*AG79+AH75*AH79</f>
        <v>-46.393936496589106</v>
      </c>
      <c r="AJ79" s="174">
        <f>AH74*AH79-AH75*AG79</f>
        <v>33.862532375668536</v>
      </c>
      <c r="AK79" s="163"/>
    </row>
    <row r="80" spans="5:37" ht="12">
      <c r="E80" s="7"/>
      <c r="F80" s="32"/>
      <c r="H80" s="183"/>
      <c r="I80" s="213"/>
      <c r="J80" s="212"/>
      <c r="R80" s="36"/>
      <c r="S80" s="26"/>
      <c r="T80" s="26"/>
      <c r="U80" s="5"/>
      <c r="V80" s="27"/>
      <c r="W80" s="27"/>
      <c r="X80" s="27">
        <v>10.5</v>
      </c>
      <c r="Y80" s="9">
        <v>5.2</v>
      </c>
      <c r="Z80" s="9">
        <f aca="true" t="shared" si="27" ref="Z80:Z90">X80+Y80</f>
        <v>15.7</v>
      </c>
      <c r="AA80" s="161">
        <v>5</v>
      </c>
      <c r="AB80" s="132">
        <v>59</v>
      </c>
      <c r="AC80" s="173">
        <f>AC76*AA80/100</f>
        <v>6.75</v>
      </c>
      <c r="AD80" s="173">
        <f>AD76*AB80/100*X80/Z80</f>
        <v>15.822898089171977</v>
      </c>
      <c r="AE80" s="175"/>
      <c r="AF80" s="175"/>
      <c r="AG80" s="174">
        <f>AC80-(AC85+AC84)/2</f>
        <v>-54</v>
      </c>
      <c r="AH80" s="174">
        <f>AD80-AE76</f>
        <v>7.54137635004154</v>
      </c>
      <c r="AI80" s="174">
        <f>AH74*AG80+AH75*AH80</f>
        <v>-40.89776923442656</v>
      </c>
      <c r="AJ80" s="174">
        <f>AH74*AH80-AH75*AG80</f>
        <v>36.05890776078162</v>
      </c>
      <c r="AK80" s="163"/>
    </row>
    <row r="81" spans="5:37" ht="12">
      <c r="E81" s="7"/>
      <c r="F81" s="32"/>
      <c r="H81" s="183"/>
      <c r="I81" s="213"/>
      <c r="J81" s="212"/>
      <c r="R81" s="36"/>
      <c r="S81" s="26"/>
      <c r="T81" s="26"/>
      <c r="U81" s="5"/>
      <c r="V81" s="27"/>
      <c r="W81" s="27"/>
      <c r="X81" s="27">
        <v>14.4</v>
      </c>
      <c r="Y81" s="9">
        <v>6.8</v>
      </c>
      <c r="Z81" s="9">
        <f t="shared" si="27"/>
        <v>21.2</v>
      </c>
      <c r="AA81" s="161">
        <v>10</v>
      </c>
      <c r="AB81" s="132">
        <v>79</v>
      </c>
      <c r="AC81" s="173">
        <f>AC76*AA81/100</f>
        <v>13.5</v>
      </c>
      <c r="AD81" s="173">
        <f>AD76*AB81/100*X81/Z81</f>
        <v>21.51781132075472</v>
      </c>
      <c r="AE81" s="175"/>
      <c r="AF81" s="175"/>
      <c r="AG81" s="174">
        <f>AC81-(AC85+AC84)/2</f>
        <v>-47.25</v>
      </c>
      <c r="AH81" s="174">
        <f>AD81-AE76</f>
        <v>13.236289581624284</v>
      </c>
      <c r="AI81" s="174">
        <f>AH74*AG81+AH75*AH81</f>
        <v>-32.1266692594121</v>
      </c>
      <c r="AJ81" s="174">
        <f>AH74*AH81-AH75*AG81</f>
        <v>37.08960749569832</v>
      </c>
      <c r="AK81" s="163"/>
    </row>
    <row r="82" spans="5:37" ht="12">
      <c r="E82" s="7"/>
      <c r="F82" s="32"/>
      <c r="H82" s="183"/>
      <c r="I82" s="213"/>
      <c r="J82" s="212"/>
      <c r="R82" s="36"/>
      <c r="S82" s="26"/>
      <c r="T82" s="26"/>
      <c r="U82" s="5"/>
      <c r="V82" s="27"/>
      <c r="W82" s="27"/>
      <c r="X82" s="225">
        <v>16.9</v>
      </c>
      <c r="Y82" s="9">
        <v>7.5</v>
      </c>
      <c r="Z82" s="9">
        <f t="shared" si="27"/>
        <v>24.4</v>
      </c>
      <c r="AA82" s="161">
        <v>20</v>
      </c>
      <c r="AB82" s="132">
        <v>95</v>
      </c>
      <c r="AC82" s="173">
        <f>AC76*AA82/100</f>
        <v>27</v>
      </c>
      <c r="AD82" s="173">
        <f>AD76*AB82/100*X82/Z82</f>
        <v>26.38547131147541</v>
      </c>
      <c r="AE82" s="175"/>
      <c r="AF82" s="175"/>
      <c r="AG82" s="174">
        <f>AC82-(AC85+AC84)/2</f>
        <v>-33.75</v>
      </c>
      <c r="AH82" s="174">
        <f>AD82-AE76</f>
        <v>18.103949572344973</v>
      </c>
      <c r="AI82" s="174">
        <f>AH74*AG82+AH75*AH82</f>
        <v>-18.179725081063715</v>
      </c>
      <c r="AJ82" s="174">
        <f>AH74*AH82-AH75*AG82</f>
        <v>33.70924333317128</v>
      </c>
      <c r="AK82" s="163"/>
    </row>
    <row r="83" spans="5:37" ht="12">
      <c r="E83" s="7"/>
      <c r="F83" s="32"/>
      <c r="H83" s="183"/>
      <c r="I83" s="213"/>
      <c r="J83" s="212"/>
      <c r="R83" s="36"/>
      <c r="S83" s="26"/>
      <c r="T83" s="26"/>
      <c r="U83" s="5"/>
      <c r="V83" s="27"/>
      <c r="W83" s="27"/>
      <c r="X83" s="27">
        <v>19.5</v>
      </c>
      <c r="Y83" s="9">
        <v>8.1</v>
      </c>
      <c r="Z83" s="9">
        <f t="shared" si="27"/>
        <v>27.6</v>
      </c>
      <c r="AA83" s="161">
        <v>30</v>
      </c>
      <c r="AB83" s="132">
        <v>100</v>
      </c>
      <c r="AC83" s="173">
        <f>AC76*AA83/100</f>
        <v>40.5</v>
      </c>
      <c r="AD83" s="173">
        <f>AD76*AB83/100*X83/Z83</f>
        <v>28.331521739130434</v>
      </c>
      <c r="AE83" s="175"/>
      <c r="AF83" s="175"/>
      <c r="AG83" s="174">
        <f>AC83-(AC85+AC84)/2</f>
        <v>-20.25</v>
      </c>
      <c r="AH83" s="174">
        <f>AD83-AE76</f>
        <v>20.049999999999997</v>
      </c>
      <c r="AI83" s="174">
        <f>AH74*AG83+AH75*AH83</f>
        <v>-5.843278532388933</v>
      </c>
      <c r="AJ83" s="174">
        <f>AH74*AH83-AH75*AG83</f>
        <v>27.89123690324476</v>
      </c>
      <c r="AK83" s="163"/>
    </row>
    <row r="84" spans="5:37" ht="12">
      <c r="E84" s="7"/>
      <c r="F84" s="32"/>
      <c r="H84" s="183"/>
      <c r="I84" s="183"/>
      <c r="J84" s="184"/>
      <c r="R84" s="36"/>
      <c r="S84" s="26"/>
      <c r="T84" s="26"/>
      <c r="U84" s="5"/>
      <c r="V84" s="27"/>
      <c r="W84" s="27"/>
      <c r="X84" s="27">
        <v>19.3</v>
      </c>
      <c r="Y84" s="224">
        <v>8</v>
      </c>
      <c r="Z84" s="9">
        <f t="shared" si="27"/>
        <v>27.3</v>
      </c>
      <c r="AA84" s="161">
        <v>40</v>
      </c>
      <c r="AB84" s="132">
        <v>99</v>
      </c>
      <c r="AC84" s="223">
        <f>AC76*AA84/100</f>
        <v>54</v>
      </c>
      <c r="AD84" s="173">
        <f>AD76*AB84/100*X84/Z84</f>
        <v>28.065593406593404</v>
      </c>
      <c r="AE84" s="175"/>
      <c r="AF84" s="175"/>
      <c r="AG84" s="174">
        <f>AC84-(AC85+AC84)/2</f>
        <v>-6.75</v>
      </c>
      <c r="AH84" s="174">
        <f>AD84-AE76</f>
        <v>19.784071667462968</v>
      </c>
      <c r="AI84" s="174">
        <f>AH74*AG84+AH75*AH84</f>
        <v>5.273844738044795</v>
      </c>
      <c r="AJ84" s="174">
        <f>AH74*AH84-AH75*AG84</f>
        <v>20.227668017403985</v>
      </c>
      <c r="AK84" s="163"/>
    </row>
    <row r="85" spans="5:37" ht="12">
      <c r="E85" s="7"/>
      <c r="F85" s="32"/>
      <c r="H85" s="183"/>
      <c r="I85" s="183"/>
      <c r="J85" s="184"/>
      <c r="R85" s="36"/>
      <c r="S85" s="26"/>
      <c r="T85" s="26"/>
      <c r="U85" s="5"/>
      <c r="V85" s="27"/>
      <c r="W85" s="27"/>
      <c r="X85" s="27">
        <v>17.9</v>
      </c>
      <c r="Y85" s="9">
        <v>7.6</v>
      </c>
      <c r="Z85" s="9">
        <f t="shared" si="27"/>
        <v>25.5</v>
      </c>
      <c r="AA85" s="161">
        <v>50</v>
      </c>
      <c r="AB85" s="132">
        <v>95</v>
      </c>
      <c r="AC85" s="223">
        <f>AC76*AA85/100</f>
        <v>67.5</v>
      </c>
      <c r="AD85" s="173">
        <f>AD76*AB85/100*X85/Z85</f>
        <v>26.741196078431372</v>
      </c>
      <c r="AE85" s="175"/>
      <c r="AF85" s="175"/>
      <c r="AG85" s="174">
        <f>AC85-(AC85+AC84)/2</f>
        <v>6.75</v>
      </c>
      <c r="AH85" s="174">
        <f>AD85-AE76</f>
        <v>18.459674339300935</v>
      </c>
      <c r="AI85" s="174">
        <f>AH74*AG85+AH75*AH85</f>
        <v>15.807501336515568</v>
      </c>
      <c r="AJ85" s="174">
        <f>AH74*AH85-AH75*AG85</f>
        <v>11.680966492936443</v>
      </c>
      <c r="AK85" s="163"/>
    </row>
    <row r="86" spans="5:37" ht="12">
      <c r="E86" s="7"/>
      <c r="F86" s="32"/>
      <c r="J86" s="26"/>
      <c r="R86" s="36"/>
      <c r="S86" s="26"/>
      <c r="T86" s="26"/>
      <c r="U86" s="5"/>
      <c r="V86" s="27"/>
      <c r="W86" s="27"/>
      <c r="X86" s="27">
        <v>16</v>
      </c>
      <c r="Y86" s="9">
        <v>6.8</v>
      </c>
      <c r="Z86" s="9">
        <f t="shared" si="27"/>
        <v>22.8</v>
      </c>
      <c r="AA86" s="161">
        <v>60</v>
      </c>
      <c r="AB86" s="132">
        <v>87</v>
      </c>
      <c r="AC86" s="173">
        <f>AC76*AA86/100</f>
        <v>81</v>
      </c>
      <c r="AD86" s="173">
        <f>AD76*AB86/100*X86/Z86</f>
        <v>24.482105263157894</v>
      </c>
      <c r="AE86" s="175"/>
      <c r="AF86" s="175"/>
      <c r="AG86" s="174">
        <f>AC86-(AC85+AC84)/2</f>
        <v>20.25</v>
      </c>
      <c r="AH86" s="174">
        <f>AD86-AE76</f>
        <v>16.200583524027458</v>
      </c>
      <c r="AI86" s="174">
        <f>AH74*AG86+AH75*AH86</f>
        <v>25.82592083263897</v>
      </c>
      <c r="AJ86" s="174">
        <f>AH74*AH86-AH75*AG86</f>
        <v>2.354404312189054</v>
      </c>
      <c r="AK86" s="163"/>
    </row>
    <row r="87" spans="5:37" ht="12">
      <c r="E87" s="7"/>
      <c r="F87" s="32"/>
      <c r="J87" s="26"/>
      <c r="R87" s="36"/>
      <c r="S87" s="26"/>
      <c r="T87" s="26"/>
      <c r="U87" s="5"/>
      <c r="V87" s="27"/>
      <c r="W87" s="27"/>
      <c r="X87" s="27">
        <v>12.9</v>
      </c>
      <c r="Y87" s="9">
        <v>5.2</v>
      </c>
      <c r="Z87" s="9">
        <f t="shared" si="27"/>
        <v>18.1</v>
      </c>
      <c r="AA87" s="161">
        <v>70</v>
      </c>
      <c r="AB87" s="132">
        <v>74</v>
      </c>
      <c r="AC87" s="173">
        <f>AC76*AA87/100</f>
        <v>94.5</v>
      </c>
      <c r="AD87" s="173">
        <f>AD76*AB87/100*X87/Z87</f>
        <v>21.148872928176793</v>
      </c>
      <c r="AE87" s="15"/>
      <c r="AF87" s="15"/>
      <c r="AG87" s="174">
        <f>AC87-(AC85+AC84)/2</f>
        <v>33.75</v>
      </c>
      <c r="AH87" s="174">
        <f>AD87-AE76</f>
        <v>12.867351189046357</v>
      </c>
      <c r="AI87" s="174">
        <f>AH74*AG87+AH75*AH87</f>
        <v>35.25223439055209</v>
      </c>
      <c r="AJ87" s="174">
        <f>AH74*AH87-AH75*AG87</f>
        <v>-7.868366863322352</v>
      </c>
      <c r="AK87" s="163"/>
    </row>
    <row r="88" spans="5:37" ht="12">
      <c r="E88" s="7"/>
      <c r="F88" s="32"/>
      <c r="J88" s="26"/>
      <c r="R88" s="36"/>
      <c r="S88" s="26"/>
      <c r="T88" s="26"/>
      <c r="U88" s="5"/>
      <c r="V88" s="27"/>
      <c r="W88" s="27"/>
      <c r="X88" s="27">
        <v>9.8</v>
      </c>
      <c r="Y88" s="9">
        <v>3.5</v>
      </c>
      <c r="Z88" s="9">
        <f t="shared" si="27"/>
        <v>13.3</v>
      </c>
      <c r="AA88" s="161">
        <v>80</v>
      </c>
      <c r="AB88" s="132">
        <v>56</v>
      </c>
      <c r="AC88" s="173">
        <f>AC76*AA88/100</f>
        <v>108</v>
      </c>
      <c r="AD88" s="173">
        <f>AD76*AB88/100*X88/Z88</f>
        <v>16.546526315789475</v>
      </c>
      <c r="AE88" s="15"/>
      <c r="AF88" s="175"/>
      <c r="AG88" s="174">
        <f>AC88-(AC85+AC84)/2</f>
        <v>47.25</v>
      </c>
      <c r="AH88" s="174">
        <f>AD88-AE76</f>
        <v>8.265004576659038</v>
      </c>
      <c r="AI88" s="174">
        <f>AH74*AG88+AH75*AH88</f>
        <v>43.97896592306858</v>
      </c>
      <c r="AJ88" s="174">
        <f>AH74*AH88-AH75*AG88</f>
        <v>-19.150022375698867</v>
      </c>
      <c r="AK88" s="163"/>
    </row>
    <row r="89" spans="5:37" ht="12">
      <c r="E89" s="7"/>
      <c r="F89" s="32"/>
      <c r="J89" s="26"/>
      <c r="R89" s="36"/>
      <c r="S89" s="26"/>
      <c r="T89" s="26"/>
      <c r="U89" s="5"/>
      <c r="V89" s="27"/>
      <c r="W89" s="27"/>
      <c r="X89" s="27">
        <v>6</v>
      </c>
      <c r="Y89" s="9">
        <v>2</v>
      </c>
      <c r="Z89" s="9">
        <f t="shared" si="27"/>
        <v>8</v>
      </c>
      <c r="AA89" s="161">
        <v>90</v>
      </c>
      <c r="AB89" s="132">
        <v>35</v>
      </c>
      <c r="AC89" s="173">
        <f>AC76*AA89/100</f>
        <v>121.5</v>
      </c>
      <c r="AD89" s="173">
        <f>AD76*AB89/100*X89/Z89</f>
        <v>10.526250000000001</v>
      </c>
      <c r="AE89" s="15"/>
      <c r="AF89" s="15"/>
      <c r="AG89" s="174">
        <f>AC89-(AC85+AC84)/2</f>
        <v>60.75</v>
      </c>
      <c r="AH89" s="174">
        <f>AD89-AE76</f>
        <v>2.2447282608695645</v>
      </c>
      <c r="AI89" s="174">
        <f>AH74*AG89+AH75*AH89</f>
        <v>51.92408294581575</v>
      </c>
      <c r="AJ89" s="174">
        <f>AH74*AH89-AH75*AG89</f>
        <v>-31.61472623954212</v>
      </c>
      <c r="AK89" s="163"/>
    </row>
    <row r="90" spans="10:37" ht="12">
      <c r="J90" s="26"/>
      <c r="R90" s="36"/>
      <c r="S90" s="26"/>
      <c r="T90" s="26"/>
      <c r="U90" s="5"/>
      <c r="V90" s="27"/>
      <c r="W90" s="27"/>
      <c r="X90" s="27">
        <v>2.7</v>
      </c>
      <c r="Y90" s="9">
        <v>1</v>
      </c>
      <c r="Z90" s="9">
        <f t="shared" si="27"/>
        <v>3.7</v>
      </c>
      <c r="AA90" s="161">
        <v>100</v>
      </c>
      <c r="AB90" s="132">
        <v>7</v>
      </c>
      <c r="AC90" s="173">
        <f>AC76*AA90/100</f>
        <v>135</v>
      </c>
      <c r="AD90" s="173">
        <f>AD76*AB90/100*X90/Z90</f>
        <v>2.0483513513513514</v>
      </c>
      <c r="AE90" s="15"/>
      <c r="AF90" s="15"/>
      <c r="AG90" s="174">
        <f>AC90-(AC85+AC84)/2</f>
        <v>74.25</v>
      </c>
      <c r="AH90" s="174">
        <f>AD90-AE76</f>
        <v>-6.233170387779085</v>
      </c>
      <c r="AI90" s="174">
        <f>AH74*AG90+AH75*AH90</f>
        <v>58.51446900391291</v>
      </c>
      <c r="AJ90" s="174">
        <f>AH74*AH90-AH75*AG90</f>
        <v>-46.12994504953589</v>
      </c>
      <c r="AK90" s="163"/>
    </row>
    <row r="91" spans="1:37" ht="12">
      <c r="A91" s="110"/>
      <c r="B91" s="110"/>
      <c r="C91" s="110"/>
      <c r="D91" s="109"/>
      <c r="E91" s="109"/>
      <c r="F91" s="110"/>
      <c r="G91" s="110"/>
      <c r="H91" s="110"/>
      <c r="I91" s="110"/>
      <c r="J91" s="188"/>
      <c r="K91" s="185"/>
      <c r="R91" s="36"/>
      <c r="S91" s="26"/>
      <c r="T91" s="26"/>
      <c r="U91" s="5"/>
      <c r="V91" s="27"/>
      <c r="W91" s="27"/>
      <c r="X91" s="27"/>
      <c r="Y91" s="9"/>
      <c r="Z91" s="9"/>
      <c r="AA91" s="161">
        <v>100</v>
      </c>
      <c r="AB91" s="222">
        <v>0</v>
      </c>
      <c r="AC91" s="173">
        <f>AC76*AA91/100</f>
        <v>135</v>
      </c>
      <c r="AD91" s="173">
        <f>AD76*AB91/100</f>
        <v>0</v>
      </c>
      <c r="AE91" s="15"/>
      <c r="AF91" s="15"/>
      <c r="AG91" s="174">
        <f>AC91-(AC85+AC84)/2</f>
        <v>74.25</v>
      </c>
      <c r="AH91" s="174">
        <f>AD91-AE76</f>
        <v>-8.281521739130437</v>
      </c>
      <c r="AI91" s="174">
        <f>AH74*AG91+AH75*AH91</f>
        <v>57.385343114610805</v>
      </c>
      <c r="AJ91" s="174">
        <f>AH74*AH91-AH75*AG91</f>
        <v>-47.83898512650619</v>
      </c>
      <c r="AK91" s="163"/>
    </row>
    <row r="92" spans="1:37" ht="12">
      <c r="A92" s="110"/>
      <c r="B92" s="110"/>
      <c r="C92" s="110"/>
      <c r="D92" s="109"/>
      <c r="E92" s="109"/>
      <c r="F92" s="110"/>
      <c r="G92" s="110"/>
      <c r="H92" s="110"/>
      <c r="I92" s="110"/>
      <c r="J92" s="188"/>
      <c r="K92" s="185"/>
      <c r="R92" s="36"/>
      <c r="S92" s="26"/>
      <c r="T92" s="26"/>
      <c r="U92" s="5"/>
      <c r="V92" s="27"/>
      <c r="W92" s="27"/>
      <c r="X92" s="27"/>
      <c r="Y92" s="9"/>
      <c r="Z92" s="9"/>
      <c r="AA92" s="161">
        <v>100</v>
      </c>
      <c r="AB92" s="222"/>
      <c r="AC92" s="173">
        <f>AC76*AA92/100</f>
        <v>135</v>
      </c>
      <c r="AD92" s="173">
        <f>-AD90/X90*Y90</f>
        <v>-0.7586486486486486</v>
      </c>
      <c r="AE92" s="173"/>
      <c r="AF92" s="15"/>
      <c r="AG92" s="174">
        <f>AC92-(AC85+AC84)/2</f>
        <v>74.25</v>
      </c>
      <c r="AH92" s="174">
        <f>AD92-AE76</f>
        <v>-9.040170387779085</v>
      </c>
      <c r="AI92" s="174">
        <f>AH74*AG92+AH75*AH92</f>
        <v>56.967148340795205</v>
      </c>
      <c r="AJ92" s="174">
        <f>AH74*AH92-AH75*AG92</f>
        <v>-48.471962932791484</v>
      </c>
      <c r="AK92" s="163"/>
    </row>
    <row r="93" spans="1:37" ht="12">
      <c r="A93" s="110"/>
      <c r="B93" s="110"/>
      <c r="C93" s="110"/>
      <c r="D93" s="109"/>
      <c r="E93" s="109"/>
      <c r="F93" s="110"/>
      <c r="G93" s="110"/>
      <c r="H93" s="110"/>
      <c r="I93" s="110"/>
      <c r="J93" s="188"/>
      <c r="K93" s="185"/>
      <c r="R93" s="36"/>
      <c r="S93" s="26"/>
      <c r="T93" s="26"/>
      <c r="U93" s="5"/>
      <c r="V93" s="27"/>
      <c r="W93" s="27"/>
      <c r="X93" s="27"/>
      <c r="Y93" s="9"/>
      <c r="Z93" s="9"/>
      <c r="AA93" s="161">
        <v>90</v>
      </c>
      <c r="AB93" s="222"/>
      <c r="AC93" s="173">
        <f>AC76*AA93/100</f>
        <v>121.5</v>
      </c>
      <c r="AD93" s="173">
        <f>-AD89/X89*Y89</f>
        <v>-3.5087500000000005</v>
      </c>
      <c r="AE93" s="173"/>
      <c r="AF93" s="15"/>
      <c r="AG93" s="174">
        <f>AC93-(AC85+AC84)/2</f>
        <v>60.75</v>
      </c>
      <c r="AH93" s="174">
        <f>AD93-AE76</f>
        <v>-11.790271739130437</v>
      </c>
      <c r="AI93" s="174">
        <f>AH74*AG93+AH75*AH93</f>
        <v>44.18747963022723</v>
      </c>
      <c r="AJ93" s="174">
        <f>AH74*AH93-AH75*AG93</f>
        <v>-43.32481565582007</v>
      </c>
      <c r="AK93" s="163"/>
    </row>
    <row r="94" spans="1:37" ht="12">
      <c r="A94" s="110"/>
      <c r="B94" s="110"/>
      <c r="C94" s="110"/>
      <c r="D94" s="109"/>
      <c r="E94" s="109"/>
      <c r="F94" s="110"/>
      <c r="G94" s="110"/>
      <c r="H94" s="110"/>
      <c r="I94" s="110"/>
      <c r="J94" s="188"/>
      <c r="K94" s="185"/>
      <c r="L94" s="185"/>
      <c r="M94" s="185"/>
      <c r="N94" s="186"/>
      <c r="O94" s="110"/>
      <c r="P94" s="110"/>
      <c r="Q94" s="187"/>
      <c r="R94" s="60"/>
      <c r="S94" s="188"/>
      <c r="T94" s="188"/>
      <c r="U94" s="5"/>
      <c r="V94" s="27"/>
      <c r="W94" s="27"/>
      <c r="X94" s="27"/>
      <c r="Y94" s="9"/>
      <c r="Z94" s="9"/>
      <c r="AA94" s="161">
        <v>80</v>
      </c>
      <c r="AB94" s="222"/>
      <c r="AC94" s="173">
        <f>AC76*AA94/100</f>
        <v>108</v>
      </c>
      <c r="AD94" s="173">
        <f>-AD88/X88*Y88</f>
        <v>-5.909473684210526</v>
      </c>
      <c r="AE94" s="173"/>
      <c r="AF94" s="15"/>
      <c r="AG94" s="174">
        <f>AC94-(AC85+AC84)/2</f>
        <v>47.25</v>
      </c>
      <c r="AH94" s="174">
        <f>AD94-AE76</f>
        <v>-14.190995423340961</v>
      </c>
      <c r="AI94" s="174">
        <f>AH74*AG94+AH75*AH94</f>
        <v>31.600400618126955</v>
      </c>
      <c r="AJ94" s="174">
        <f>AH74*AH94-AH75*AG94</f>
        <v>-37.88616544174358</v>
      </c>
      <c r="AK94" s="163"/>
    </row>
    <row r="95" spans="1:37" ht="12">
      <c r="A95" s="110"/>
      <c r="B95" s="110"/>
      <c r="C95" s="110"/>
      <c r="D95" s="109"/>
      <c r="E95" s="109"/>
      <c r="F95" s="110"/>
      <c r="G95" s="110"/>
      <c r="H95" s="110"/>
      <c r="I95" s="110"/>
      <c r="J95" s="188"/>
      <c r="K95" s="185"/>
      <c r="L95" s="185"/>
      <c r="M95" s="185"/>
      <c r="N95" s="186"/>
      <c r="O95" s="110"/>
      <c r="P95" s="110"/>
      <c r="Q95" s="187"/>
      <c r="R95" s="60"/>
      <c r="S95" s="188"/>
      <c r="T95" s="188"/>
      <c r="U95" s="5"/>
      <c r="V95" s="27"/>
      <c r="W95" s="27"/>
      <c r="X95" s="27"/>
      <c r="Y95" s="9"/>
      <c r="Z95" s="9"/>
      <c r="AA95" s="161">
        <v>70</v>
      </c>
      <c r="AB95" s="222"/>
      <c r="AC95" s="173">
        <f>AC76*AA95/100</f>
        <v>94.5</v>
      </c>
      <c r="AD95" s="173">
        <f>-AD87/X87*Y87</f>
        <v>-8.525127071823203</v>
      </c>
      <c r="AE95" s="173"/>
      <c r="AF95" s="15"/>
      <c r="AG95" s="174">
        <f>AC95-(AC85+AC84)/2</f>
        <v>33.75</v>
      </c>
      <c r="AH95" s="174">
        <f>AD95-AE76</f>
        <v>-16.80664881095364</v>
      </c>
      <c r="AI95" s="174">
        <f>AH74*AG95+AH75*AH95</f>
        <v>18.8948445233078</v>
      </c>
      <c r="AJ95" s="174">
        <f>AH74*AH95-AH75*AG95</f>
        <v>-32.626841629167146</v>
      </c>
      <c r="AK95" s="163"/>
    </row>
    <row r="96" spans="1:37" ht="12">
      <c r="A96" s="110"/>
      <c r="B96" s="110"/>
      <c r="C96" s="110"/>
      <c r="D96" s="109"/>
      <c r="E96" s="109"/>
      <c r="F96" s="110"/>
      <c r="G96" s="110"/>
      <c r="H96" s="110"/>
      <c r="I96" s="110"/>
      <c r="J96" s="188"/>
      <c r="K96" s="185"/>
      <c r="L96" s="185"/>
      <c r="M96" s="185"/>
      <c r="N96" s="186"/>
      <c r="O96" s="110"/>
      <c r="P96" s="110"/>
      <c r="Q96" s="187"/>
      <c r="R96" s="60"/>
      <c r="S96" s="188"/>
      <c r="T96" s="188"/>
      <c r="U96" s="5"/>
      <c r="V96" s="27"/>
      <c r="W96" s="27"/>
      <c r="X96" s="27"/>
      <c r="Y96" s="9"/>
      <c r="Z96" s="9"/>
      <c r="AA96" s="161">
        <v>60</v>
      </c>
      <c r="AB96" s="222"/>
      <c r="AC96" s="173">
        <f>AC76*AA96/100</f>
        <v>81</v>
      </c>
      <c r="AD96" s="173">
        <f>-AD86/X86*Y86</f>
        <v>-10.404894736842104</v>
      </c>
      <c r="AE96" s="173"/>
      <c r="AF96" s="15"/>
      <c r="AG96" s="174">
        <f>AC96-(AC85+AC84)/2</f>
        <v>20.25</v>
      </c>
      <c r="AH96" s="174">
        <f>AD96-AE76</f>
        <v>-18.686416475972543</v>
      </c>
      <c r="AI96" s="174">
        <f>AH74*AG96+AH75*AH96</f>
        <v>6.594935448176086</v>
      </c>
      <c r="AJ96" s="174">
        <f>AH74*AH96-AH75*AG96</f>
        <v>-26.7535322368447</v>
      </c>
      <c r="AK96" s="163"/>
    </row>
    <row r="97" spans="1:37" ht="12">
      <c r="A97" s="110"/>
      <c r="B97" s="110"/>
      <c r="C97" s="110"/>
      <c r="D97" s="109"/>
      <c r="E97" s="109"/>
      <c r="F97" s="110"/>
      <c r="G97" s="110"/>
      <c r="H97" s="110"/>
      <c r="I97" s="110"/>
      <c r="J97" s="188"/>
      <c r="K97" s="185"/>
      <c r="L97" s="185"/>
      <c r="M97" s="185"/>
      <c r="N97" s="186"/>
      <c r="O97" s="110"/>
      <c r="P97" s="110"/>
      <c r="Q97" s="187"/>
      <c r="R97" s="60"/>
      <c r="S97" s="188"/>
      <c r="T97" s="188"/>
      <c r="U97" s="5"/>
      <c r="V97" s="27"/>
      <c r="W97" s="27"/>
      <c r="X97" s="27"/>
      <c r="Y97" s="9"/>
      <c r="Z97" s="9"/>
      <c r="AA97" s="161">
        <v>50</v>
      </c>
      <c r="AB97" s="222"/>
      <c r="AC97" s="173">
        <f>AC76*AA97/100</f>
        <v>67.5</v>
      </c>
      <c r="AD97" s="173">
        <f>-AD85/X85*Y85</f>
        <v>-11.353803921568629</v>
      </c>
      <c r="AE97" s="173"/>
      <c r="AF97" s="15"/>
      <c r="AG97" s="174">
        <f>AC97-(AC85+AC84)/2</f>
        <v>6.75</v>
      </c>
      <c r="AH97" s="174">
        <f>AD97-AE76</f>
        <v>-19.635325660699067</v>
      </c>
      <c r="AI97" s="174">
        <f>AH74*AG97+AH75*AH97</f>
        <v>-5.191850520081833</v>
      </c>
      <c r="AJ97" s="174">
        <f>AH74*AH97-AH75*AG97</f>
        <v>-20.103561922675127</v>
      </c>
      <c r="AK97" s="163"/>
    </row>
    <row r="98" spans="1:37" ht="12">
      <c r="A98" s="110"/>
      <c r="B98" s="110"/>
      <c r="C98" s="110"/>
      <c r="D98" s="109"/>
      <c r="E98" s="109"/>
      <c r="F98" s="110"/>
      <c r="G98" s="110"/>
      <c r="H98" s="110"/>
      <c r="I98" s="110"/>
      <c r="J98" s="188"/>
      <c r="K98" s="185"/>
      <c r="L98" s="185"/>
      <c r="M98" s="185"/>
      <c r="N98" s="186"/>
      <c r="O98" s="110"/>
      <c r="P98" s="110"/>
      <c r="Q98" s="187"/>
      <c r="R98" s="60"/>
      <c r="S98" s="188"/>
      <c r="T98" s="188"/>
      <c r="U98" s="5"/>
      <c r="V98" s="27"/>
      <c r="W98" s="27"/>
      <c r="X98" s="27"/>
      <c r="Y98" s="9"/>
      <c r="Z98" s="9"/>
      <c r="AA98" s="161">
        <v>40</v>
      </c>
      <c r="AB98" s="222"/>
      <c r="AC98" s="173">
        <f>AC76*AA98/100</f>
        <v>54</v>
      </c>
      <c r="AD98" s="173">
        <f>-AD84/X84*Y84</f>
        <v>-11.633406593406592</v>
      </c>
      <c r="AE98" s="173"/>
      <c r="AF98" s="15"/>
      <c r="AG98" s="174">
        <f>AC98-(AC85+AC84)/2</f>
        <v>-6.75</v>
      </c>
      <c r="AH98" s="174">
        <f>AD98-AE76</f>
        <v>-19.91492833253703</v>
      </c>
      <c r="AI98" s="174">
        <f>AH74*AG98+AH75*AH98</f>
        <v>-16.609690354619865</v>
      </c>
      <c r="AJ98" s="174">
        <f>AH74*AH98-AH75*AG98</f>
        <v>-12.895156331496487</v>
      </c>
      <c r="AK98" s="163"/>
    </row>
    <row r="99" spans="1:37" ht="12">
      <c r="A99" s="110"/>
      <c r="B99" s="110"/>
      <c r="C99" s="110"/>
      <c r="D99" s="109"/>
      <c r="E99" s="109"/>
      <c r="F99" s="110"/>
      <c r="G99" s="110"/>
      <c r="H99" s="110"/>
      <c r="I99" s="110"/>
      <c r="J99" s="188"/>
      <c r="K99" s="185"/>
      <c r="L99" s="185"/>
      <c r="M99" s="185"/>
      <c r="N99" s="186"/>
      <c r="O99" s="110"/>
      <c r="P99" s="110"/>
      <c r="Q99" s="187"/>
      <c r="R99" s="60"/>
      <c r="S99" s="188"/>
      <c r="T99" s="188"/>
      <c r="U99" s="5"/>
      <c r="V99" s="27"/>
      <c r="W99" s="27"/>
      <c r="X99" s="27"/>
      <c r="Y99" s="9"/>
      <c r="Z99" s="9"/>
      <c r="AA99" s="161">
        <v>30</v>
      </c>
      <c r="AB99" s="222"/>
      <c r="AC99" s="173">
        <f>AC76*AA99/100</f>
        <v>40.5</v>
      </c>
      <c r="AD99" s="173">
        <f>-AD83/X83*Y83</f>
        <v>-11.768478260869564</v>
      </c>
      <c r="AE99" s="173"/>
      <c r="AF99" s="15"/>
      <c r="AG99" s="174">
        <f>AC99-(AC85+AC84)/2</f>
        <v>-20.25</v>
      </c>
      <c r="AH99" s="174">
        <f>AD99-AE76</f>
        <v>-20.05</v>
      </c>
      <c r="AI99" s="174">
        <f>AH74*AG99+AH75*AH99</f>
        <v>-27.94785943407041</v>
      </c>
      <c r="AJ99" s="174">
        <f>AH74*AH99-AH75*AG99</f>
        <v>-5.566161428977939</v>
      </c>
      <c r="AK99" s="163"/>
    </row>
    <row r="100" spans="1:37" ht="12">
      <c r="A100" s="110"/>
      <c r="B100" s="110"/>
      <c r="C100" s="110"/>
      <c r="D100" s="109"/>
      <c r="E100" s="109"/>
      <c r="F100" s="110"/>
      <c r="G100" s="110"/>
      <c r="H100" s="110"/>
      <c r="I100" s="110"/>
      <c r="J100" s="188"/>
      <c r="K100" s="185"/>
      <c r="L100" s="185"/>
      <c r="M100" s="185"/>
      <c r="N100" s="186"/>
      <c r="O100" s="110"/>
      <c r="P100" s="110"/>
      <c r="Q100" s="187"/>
      <c r="R100" s="60"/>
      <c r="S100" s="188"/>
      <c r="T100" s="188"/>
      <c r="U100" s="5"/>
      <c r="V100" s="27"/>
      <c r="W100" s="27"/>
      <c r="X100" s="27"/>
      <c r="Y100" s="9"/>
      <c r="Z100" s="9"/>
      <c r="AA100" s="161">
        <v>20</v>
      </c>
      <c r="AB100" s="222"/>
      <c r="AC100" s="173">
        <f>AC76*AA100/100</f>
        <v>27</v>
      </c>
      <c r="AD100" s="173">
        <f>-AD82/X82*Y82</f>
        <v>-11.709528688524593</v>
      </c>
      <c r="AE100" s="173"/>
      <c r="AF100" s="15"/>
      <c r="AG100" s="174">
        <f>AC100-(AC85+AC84)/2</f>
        <v>-33.75</v>
      </c>
      <c r="AH100" s="174">
        <f>AD100-AE76</f>
        <v>-19.99105042765503</v>
      </c>
      <c r="AI100" s="174">
        <f>AH74*AG100+AH75*AH100</f>
        <v>-39.17907693766112</v>
      </c>
      <c r="AJ100" s="174">
        <f>AH74*AH100-AH75*AG100</f>
        <v>1.9247149175597116</v>
      </c>
      <c r="AK100" s="163"/>
    </row>
    <row r="101" spans="1:37" ht="12">
      <c r="A101" s="110"/>
      <c r="B101" s="110"/>
      <c r="C101" s="110"/>
      <c r="D101" s="109"/>
      <c r="E101" s="109"/>
      <c r="F101" s="110"/>
      <c r="G101" s="110"/>
      <c r="H101" s="110"/>
      <c r="I101" s="110"/>
      <c r="J101" s="188"/>
      <c r="K101" s="185"/>
      <c r="L101" s="185"/>
      <c r="M101" s="185"/>
      <c r="N101" s="186"/>
      <c r="O101" s="110"/>
      <c r="P101" s="110"/>
      <c r="Q101" s="187"/>
      <c r="R101" s="60"/>
      <c r="S101" s="188"/>
      <c r="T101" s="188"/>
      <c r="U101" s="5"/>
      <c r="V101" s="27"/>
      <c r="W101" s="27"/>
      <c r="X101" s="27"/>
      <c r="Y101" s="9"/>
      <c r="Z101" s="9"/>
      <c r="AA101" s="161">
        <v>10</v>
      </c>
      <c r="AB101" s="222"/>
      <c r="AC101" s="173">
        <f>AC76*AA101/100</f>
        <v>13.5</v>
      </c>
      <c r="AD101" s="173">
        <f>-AD81/X81*Y81</f>
        <v>-10.161188679245283</v>
      </c>
      <c r="AE101" s="173"/>
      <c r="AF101" s="15"/>
      <c r="AG101" s="174">
        <f>AC101-(AC85+AC84)/2</f>
        <v>-47.25</v>
      </c>
      <c r="AH101" s="174">
        <f>AD101-AE76</f>
        <v>-18.442710418375718</v>
      </c>
      <c r="AI101" s="174">
        <f>AH74*AG101+AH75*AH101</f>
        <v>-49.58928817174046</v>
      </c>
      <c r="AJ101" s="174">
        <f>AH74*AH101-AH75*AG101</f>
        <v>10.658262813242384</v>
      </c>
      <c r="AK101" s="163"/>
    </row>
    <row r="102" spans="1:37" ht="12">
      <c r="A102" s="110"/>
      <c r="B102" s="110"/>
      <c r="C102" s="110"/>
      <c r="D102" s="110"/>
      <c r="E102" s="110"/>
      <c r="F102" s="110"/>
      <c r="G102" s="109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86"/>
      <c r="S102" s="110"/>
      <c r="T102" s="188"/>
      <c r="U102" s="5"/>
      <c r="V102" s="27"/>
      <c r="W102" s="27"/>
      <c r="X102" s="27"/>
      <c r="Y102" s="9"/>
      <c r="Z102" s="9"/>
      <c r="AA102" s="161">
        <v>5</v>
      </c>
      <c r="AB102" s="222"/>
      <c r="AC102" s="173">
        <f>AC76*AA102/100</f>
        <v>6.75</v>
      </c>
      <c r="AD102" s="173">
        <f>-AD80/X80*Y80</f>
        <v>-7.8361019108280265</v>
      </c>
      <c r="AE102" s="173"/>
      <c r="AF102" s="15"/>
      <c r="AG102" s="174">
        <f>AC102-(AC85+AC84)/2</f>
        <v>-54</v>
      </c>
      <c r="AH102" s="174">
        <f>AD102-AE76</f>
        <v>-16.117623649958464</v>
      </c>
      <c r="AI102" s="174">
        <f>AH74*AG102+AH75*AH102</f>
        <v>-53.93947196641864</v>
      </c>
      <c r="AJ102" s="174">
        <f>AH74*AH102-AH75*AG102</f>
        <v>16.319042744770226</v>
      </c>
      <c r="AK102" s="163"/>
    </row>
    <row r="103" spans="1:37" ht="12">
      <c r="A103" s="110"/>
      <c r="B103" s="110"/>
      <c r="C103" s="110"/>
      <c r="D103" s="110"/>
      <c r="E103" s="110"/>
      <c r="F103" s="110"/>
      <c r="G103" s="109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86"/>
      <c r="S103" s="110"/>
      <c r="T103" s="188"/>
      <c r="U103" s="5"/>
      <c r="V103" s="27"/>
      <c r="W103" s="27"/>
      <c r="X103" s="27"/>
      <c r="Y103" s="9"/>
      <c r="Z103" s="9"/>
      <c r="AA103" s="161">
        <v>2.5</v>
      </c>
      <c r="AB103" s="15"/>
      <c r="AC103" s="173">
        <f>AC76*AA103/100</f>
        <v>3.375</v>
      </c>
      <c r="AD103" s="172">
        <f>-AD79/X79*Y79</f>
        <v>-5.480333333333334</v>
      </c>
      <c r="AE103" s="15"/>
      <c r="AF103" s="15"/>
      <c r="AG103" s="174">
        <f>AC103-(AC85+AC84)/2</f>
        <v>-57.375</v>
      </c>
      <c r="AH103" s="174">
        <f>AD103-AE76</f>
        <v>-13.76185507246377</v>
      </c>
      <c r="AI103" s="174">
        <f>AH74*AG103+AH75*AH103</f>
        <v>-55.45681466627852</v>
      </c>
      <c r="AJ103" s="174">
        <f>AH74*AH103-AH75*AG103</f>
        <v>20.144999059457223</v>
      </c>
      <c r="AK103" s="163"/>
    </row>
    <row r="104" spans="1:37" ht="12">
      <c r="A104" s="110"/>
      <c r="B104" s="110"/>
      <c r="C104" s="110"/>
      <c r="D104" s="110"/>
      <c r="E104" s="110"/>
      <c r="F104" s="110"/>
      <c r="G104" s="109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86"/>
      <c r="S104" s="110"/>
      <c r="T104" s="188"/>
      <c r="U104" s="5"/>
      <c r="V104" s="27"/>
      <c r="W104" s="27"/>
      <c r="X104" s="27"/>
      <c r="Y104" s="9"/>
      <c r="Z104" s="9"/>
      <c r="AA104" s="161">
        <v>0</v>
      </c>
      <c r="AB104" s="15"/>
      <c r="AC104" s="173">
        <f>AC76*AA104/100</f>
        <v>0</v>
      </c>
      <c r="AD104" s="172">
        <f>-AD78/3</f>
        <v>-1.3366666666666667</v>
      </c>
      <c r="AE104" s="15"/>
      <c r="AF104" s="15"/>
      <c r="AG104" s="174">
        <f>AC104-(AC85+AC84)/2</f>
        <v>-60.75</v>
      </c>
      <c r="AH104" s="174">
        <f>AD104-AE76</f>
        <v>-9.618188405797103</v>
      </c>
      <c r="AI104" s="174">
        <f>AH74*AG104+AH75*AH104</f>
        <v>-55.98860280364305</v>
      </c>
      <c r="AJ104" s="174">
        <f>AH74*AH104-AH75*AG104</f>
        <v>25.462686509975804</v>
      </c>
      <c r="AK104" s="163"/>
    </row>
    <row r="105" spans="1:37" ht="12">
      <c r="A105" s="110"/>
      <c r="B105" s="110"/>
      <c r="C105" s="110"/>
      <c r="D105" s="110"/>
      <c r="E105" s="110"/>
      <c r="F105" s="110"/>
      <c r="G105" s="109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86"/>
      <c r="S105" s="110"/>
      <c r="T105" s="188"/>
      <c r="U105" s="5"/>
      <c r="V105" s="27"/>
      <c r="W105" s="27"/>
      <c r="X105" s="27"/>
      <c r="Y105" s="9"/>
      <c r="Z105" s="9"/>
      <c r="AA105" s="161"/>
      <c r="AB105" s="15"/>
      <c r="AC105" s="173"/>
      <c r="AD105" s="172"/>
      <c r="AE105" s="15"/>
      <c r="AF105" s="15"/>
      <c r="AG105" s="174"/>
      <c r="AH105" s="174"/>
      <c r="AI105" s="174">
        <f>AI77</f>
        <v>-55.25178344025366</v>
      </c>
      <c r="AJ105" s="174">
        <f>AJ77</f>
        <v>26.577933121049895</v>
      </c>
      <c r="AK105" s="163"/>
    </row>
    <row r="106" spans="1:37" ht="12">
      <c r="A106" s="110"/>
      <c r="B106" s="110"/>
      <c r="C106" s="110"/>
      <c r="D106" s="110"/>
      <c r="E106" s="110"/>
      <c r="F106" s="110"/>
      <c r="G106" s="109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86"/>
      <c r="S106" s="110"/>
      <c r="T106" s="188"/>
      <c r="U106" s="5"/>
      <c r="V106" s="27"/>
      <c r="W106" s="27"/>
      <c r="X106" s="27"/>
      <c r="Y106" s="9"/>
      <c r="Z106" s="9"/>
      <c r="AA106" s="161"/>
      <c r="AB106" s="15"/>
      <c r="AC106" s="173"/>
      <c r="AD106" s="172"/>
      <c r="AE106" s="15"/>
      <c r="AF106" s="15"/>
      <c r="AG106" s="174"/>
      <c r="AH106" s="174"/>
      <c r="AI106" s="174"/>
      <c r="AJ106" s="174"/>
      <c r="AK106" s="163"/>
    </row>
    <row r="107" spans="1:37" ht="12">
      <c r="A107" s="110"/>
      <c r="B107" s="110"/>
      <c r="C107" s="110"/>
      <c r="D107" s="110"/>
      <c r="E107" s="110"/>
      <c r="F107" s="110"/>
      <c r="G107" s="109"/>
      <c r="H107" s="214"/>
      <c r="I107" s="110"/>
      <c r="J107" s="110"/>
      <c r="K107" s="110"/>
      <c r="L107" s="110"/>
      <c r="M107" s="110"/>
      <c r="N107" s="110"/>
      <c r="O107" s="110"/>
      <c r="P107" s="110"/>
      <c r="Q107" s="110"/>
      <c r="R107" s="186"/>
      <c r="S107" s="110"/>
      <c r="T107" s="188"/>
      <c r="U107" s="5"/>
      <c r="V107" s="27"/>
      <c r="W107" s="27"/>
      <c r="X107" s="27"/>
      <c r="Y107" s="9"/>
      <c r="Z107" s="9"/>
      <c r="AA107" s="161"/>
      <c r="AB107" s="15"/>
      <c r="AC107" s="15"/>
      <c r="AD107" s="15"/>
      <c r="AE107" s="15"/>
      <c r="AF107" s="15"/>
      <c r="AG107" s="15"/>
      <c r="AH107" s="15"/>
      <c r="AI107" s="162"/>
      <c r="AJ107" s="162"/>
      <c r="AK107" s="163"/>
    </row>
    <row r="108" spans="1:37" ht="12">
      <c r="A108" s="110"/>
      <c r="B108" s="110"/>
      <c r="C108" s="110"/>
      <c r="D108" s="110"/>
      <c r="E108" s="110"/>
      <c r="F108" s="110"/>
      <c r="G108" s="109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86"/>
      <c r="S108" s="110"/>
      <c r="T108" s="188"/>
      <c r="U108" s="5"/>
      <c r="V108" s="27"/>
      <c r="W108" s="27"/>
      <c r="X108" s="27"/>
      <c r="Y108" s="9"/>
      <c r="Z108" s="9"/>
      <c r="AA108" s="161"/>
      <c r="AB108" s="15"/>
      <c r="AC108" s="15"/>
      <c r="AD108" s="15"/>
      <c r="AE108" s="51" t="s">
        <v>0</v>
      </c>
      <c r="AF108" s="164">
        <f>Q37</f>
        <v>140</v>
      </c>
      <c r="AG108" s="15"/>
      <c r="AH108" s="15"/>
      <c r="AI108" s="162"/>
      <c r="AJ108" s="162"/>
      <c r="AK108" s="163"/>
    </row>
    <row r="109" spans="1:37" ht="12">
      <c r="A109" s="110"/>
      <c r="B109" s="110"/>
      <c r="C109" s="110"/>
      <c r="D109" s="110"/>
      <c r="E109" s="110"/>
      <c r="F109" s="110"/>
      <c r="G109" s="109"/>
      <c r="H109" s="214"/>
      <c r="I109" s="110"/>
      <c r="J109" s="110"/>
      <c r="K109" s="110"/>
      <c r="L109" s="110"/>
      <c r="M109" s="110"/>
      <c r="N109" s="110"/>
      <c r="O109" s="110"/>
      <c r="P109" s="110"/>
      <c r="Q109" s="110"/>
      <c r="R109" s="186"/>
      <c r="S109" s="110"/>
      <c r="T109" s="110"/>
      <c r="U109" s="29"/>
      <c r="V109" s="27"/>
      <c r="W109" s="27"/>
      <c r="X109" s="27"/>
      <c r="Y109" s="9"/>
      <c r="Z109" s="9"/>
      <c r="AA109" s="161"/>
      <c r="AB109" s="165" t="s">
        <v>10</v>
      </c>
      <c r="AC109" s="15" t="s">
        <v>20</v>
      </c>
      <c r="AD109" s="15"/>
      <c r="AE109" s="165" t="s">
        <v>11</v>
      </c>
      <c r="AF109" s="166">
        <f>F37</f>
        <v>30.92157609813131</v>
      </c>
      <c r="AG109" s="165" t="s">
        <v>4</v>
      </c>
      <c r="AH109" s="167">
        <f>L37</f>
        <v>0.8578918845195027</v>
      </c>
      <c r="AI109" s="162"/>
      <c r="AJ109" s="162"/>
      <c r="AK109" s="163"/>
    </row>
    <row r="110" spans="1:37" ht="12">
      <c r="A110" s="110"/>
      <c r="B110" s="110"/>
      <c r="C110" s="110"/>
      <c r="D110" s="110"/>
      <c r="E110" s="110"/>
      <c r="F110" s="110"/>
      <c r="G110" s="109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86"/>
      <c r="S110" s="110"/>
      <c r="T110" s="110"/>
      <c r="U110" s="28"/>
      <c r="V110" s="9"/>
      <c r="W110" s="9"/>
      <c r="X110" s="9"/>
      <c r="Y110" s="9"/>
      <c r="Z110" s="9"/>
      <c r="AA110" s="161"/>
      <c r="AB110" s="15"/>
      <c r="AC110" s="15" t="s">
        <v>22</v>
      </c>
      <c r="AD110" s="15"/>
      <c r="AE110" s="15"/>
      <c r="AF110" s="15"/>
      <c r="AG110" s="165" t="s">
        <v>8</v>
      </c>
      <c r="AH110" s="168">
        <f>T37</f>
        <v>0.5138302389657271</v>
      </c>
      <c r="AI110" s="162"/>
      <c r="AJ110" s="162"/>
      <c r="AK110" s="163"/>
    </row>
    <row r="111" spans="1:37" ht="12">
      <c r="A111" s="110"/>
      <c r="B111" s="110"/>
      <c r="C111" s="110"/>
      <c r="D111" s="110"/>
      <c r="E111" s="110"/>
      <c r="F111" s="110"/>
      <c r="G111" s="109"/>
      <c r="H111" s="214"/>
      <c r="I111" s="110"/>
      <c r="J111" s="110"/>
      <c r="K111" s="110"/>
      <c r="L111" s="110"/>
      <c r="M111" s="110"/>
      <c r="N111" s="110"/>
      <c r="O111" s="110"/>
      <c r="P111" s="110"/>
      <c r="Q111" s="110"/>
      <c r="R111" s="186"/>
      <c r="S111" s="110"/>
      <c r="T111" s="110"/>
      <c r="U111" s="30"/>
      <c r="V111" s="31"/>
      <c r="W111" s="31"/>
      <c r="X111" s="27"/>
      <c r="Y111" s="9"/>
      <c r="Z111" s="9">
        <f>Z118</f>
        <v>24.9</v>
      </c>
      <c r="AA111" s="169" t="s">
        <v>12</v>
      </c>
      <c r="AB111" s="165" t="s">
        <v>13</v>
      </c>
      <c r="AC111" s="170">
        <f>N37</f>
        <v>138</v>
      </c>
      <c r="AD111" s="170">
        <f>R37</f>
        <v>36.4</v>
      </c>
      <c r="AE111" s="226">
        <f>AD111/2+AD134</f>
        <v>10.306024096385542</v>
      </c>
      <c r="AF111" s="165"/>
      <c r="AG111" s="165" t="s">
        <v>14</v>
      </c>
      <c r="AH111" s="165" t="s">
        <v>15</v>
      </c>
      <c r="AI111" s="171" t="s">
        <v>16</v>
      </c>
      <c r="AJ111" s="171" t="s">
        <v>17</v>
      </c>
      <c r="AK111" s="163"/>
    </row>
    <row r="112" spans="1:37" ht="12">
      <c r="A112" s="110"/>
      <c r="B112" s="110"/>
      <c r="C112" s="110"/>
      <c r="D112" s="110"/>
      <c r="E112" s="110"/>
      <c r="F112" s="110"/>
      <c r="G112" s="109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86"/>
      <c r="S112" s="110"/>
      <c r="T112" s="110"/>
      <c r="U112" s="28"/>
      <c r="V112" s="9"/>
      <c r="W112" s="9"/>
      <c r="X112" s="27"/>
      <c r="Y112" s="9"/>
      <c r="Z112" s="9"/>
      <c r="AA112" s="161"/>
      <c r="AB112" s="15"/>
      <c r="AC112" s="172"/>
      <c r="AD112" s="173">
        <v>0</v>
      </c>
      <c r="AE112" s="15"/>
      <c r="AF112" s="15"/>
      <c r="AG112" s="174">
        <f>AC112-(AC120+AC119)/2</f>
        <v>-62.1</v>
      </c>
      <c r="AH112" s="174">
        <f>AD112-AE111</f>
        <v>-10.306024096385542</v>
      </c>
      <c r="AI112" s="174">
        <f>AH109*AG112+AH110*AH112</f>
        <v>-58.570632852893446</v>
      </c>
      <c r="AJ112" s="174">
        <f>AH109*AH112-AH110*AG112</f>
        <v>23.067403405820055</v>
      </c>
      <c r="AK112" s="163"/>
    </row>
    <row r="113" spans="1:37" ht="12">
      <c r="A113" s="110"/>
      <c r="B113" s="110"/>
      <c r="C113" s="110"/>
      <c r="D113" s="110"/>
      <c r="E113" s="110"/>
      <c r="F113" s="110"/>
      <c r="G113" s="109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86"/>
      <c r="S113" s="110"/>
      <c r="T113" s="110"/>
      <c r="U113" s="29"/>
      <c r="V113" s="27"/>
      <c r="W113" s="27"/>
      <c r="X113" s="27"/>
      <c r="Y113" s="9"/>
      <c r="Z113" s="9"/>
      <c r="AA113" s="161">
        <v>0</v>
      </c>
      <c r="AB113" s="132">
        <v>10</v>
      </c>
      <c r="AC113" s="173">
        <f>AC111*AA113/100</f>
        <v>0</v>
      </c>
      <c r="AD113" s="173">
        <f>AD111*AB113/100</f>
        <v>3.64</v>
      </c>
      <c r="AE113" s="15"/>
      <c r="AF113" s="15"/>
      <c r="AG113" s="174">
        <f>AC113-(AC120+AC119)/2</f>
        <v>-62.1</v>
      </c>
      <c r="AH113" s="174">
        <f>AD113-AE111</f>
        <v>-6.6660240963855415</v>
      </c>
      <c r="AI113" s="174">
        <f>AH109*AG113+AH110*AH113</f>
        <v>-56.7002907830582</v>
      </c>
      <c r="AJ113" s="174">
        <f>AH109*AH113-AH110*AG113</f>
        <v>26.190129865471043</v>
      </c>
      <c r="AK113" s="163"/>
    </row>
    <row r="114" spans="1:37" ht="12">
      <c r="A114" s="110"/>
      <c r="B114" s="110"/>
      <c r="C114" s="110"/>
      <c r="D114" s="110"/>
      <c r="E114" s="110"/>
      <c r="F114" s="110"/>
      <c r="G114" s="109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86"/>
      <c r="S114" s="110"/>
      <c r="T114" s="110"/>
      <c r="U114" s="5"/>
      <c r="V114" s="27"/>
      <c r="W114" s="27"/>
      <c r="X114" s="27">
        <v>4</v>
      </c>
      <c r="Y114" s="8">
        <v>1.3333333333333333</v>
      </c>
      <c r="Z114" s="9">
        <f>X114+Y114</f>
        <v>5.333333333333333</v>
      </c>
      <c r="AA114" s="161">
        <v>2.5</v>
      </c>
      <c r="AB114" s="132">
        <v>41</v>
      </c>
      <c r="AC114" s="173">
        <f>AC111*AA114/100</f>
        <v>3.45</v>
      </c>
      <c r="AD114" s="173">
        <f>AD111*AB114/100*X114/Z114</f>
        <v>11.193</v>
      </c>
      <c r="AE114" s="175"/>
      <c r="AF114" s="175"/>
      <c r="AG114" s="174">
        <f>AC114-(AC120+AC119)/2</f>
        <v>-58.65</v>
      </c>
      <c r="AH114" s="174">
        <f>AD114-AE111</f>
        <v>0.8869759036144576</v>
      </c>
      <c r="AI114" s="174">
        <f>AH109*AG114+AH110*AH114</f>
        <v>-49.85960398655777</v>
      </c>
      <c r="AJ114" s="174">
        <f>AH109*AH114-AH110*AG114</f>
        <v>30.897072944815086</v>
      </c>
      <c r="AK114" s="163"/>
    </row>
    <row r="115" spans="1:37" ht="12">
      <c r="A115" s="110"/>
      <c r="B115" s="110"/>
      <c r="C115" s="110"/>
      <c r="D115" s="110"/>
      <c r="E115" s="110"/>
      <c r="F115" s="110"/>
      <c r="G115" s="109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86"/>
      <c r="S115" s="110"/>
      <c r="T115" s="110"/>
      <c r="U115" s="5"/>
      <c r="V115" s="27"/>
      <c r="W115" s="27"/>
      <c r="X115" s="27">
        <v>10.5</v>
      </c>
      <c r="Y115" s="8">
        <v>3.466666666666667</v>
      </c>
      <c r="Z115" s="9">
        <f aca="true" t="shared" si="28" ref="Z115:Z125">X115+Y115</f>
        <v>13.966666666666667</v>
      </c>
      <c r="AA115" s="161">
        <v>5</v>
      </c>
      <c r="AB115" s="132">
        <v>59</v>
      </c>
      <c r="AC115" s="173">
        <f>AC111*AA115/100</f>
        <v>6.9</v>
      </c>
      <c r="AD115" s="173">
        <f>AD111*AB115/100*X115/Z115</f>
        <v>16.145441527446298</v>
      </c>
      <c r="AE115" s="175"/>
      <c r="AF115" s="175"/>
      <c r="AG115" s="174">
        <f>AC115-(AC120+AC119)/2</f>
        <v>-55.2</v>
      </c>
      <c r="AH115" s="174">
        <f>AD115-AE111</f>
        <v>5.839417431060756</v>
      </c>
      <c r="AI115" s="174">
        <f>AH109*AG115+AH110*AH115</f>
        <v>-44.35516277145397</v>
      </c>
      <c r="AJ115" s="174">
        <f>AH109*AH115-AH110*AG115</f>
        <v>33.37301801533688</v>
      </c>
      <c r="AK115" s="163"/>
    </row>
    <row r="116" spans="1:37" ht="12">
      <c r="A116" s="110"/>
      <c r="B116" s="110"/>
      <c r="C116" s="110"/>
      <c r="D116" s="110"/>
      <c r="E116" s="110"/>
      <c r="F116" s="110"/>
      <c r="G116" s="109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86"/>
      <c r="S116" s="110"/>
      <c r="T116" s="110"/>
      <c r="U116" s="5"/>
      <c r="V116" s="27"/>
      <c r="W116" s="27"/>
      <c r="X116" s="27">
        <v>14.4</v>
      </c>
      <c r="Y116" s="8">
        <v>4.533333333333333</v>
      </c>
      <c r="Z116" s="9">
        <f t="shared" si="28"/>
        <v>18.933333333333334</v>
      </c>
      <c r="AA116" s="161">
        <v>10</v>
      </c>
      <c r="AB116" s="132">
        <v>79</v>
      </c>
      <c r="AC116" s="173">
        <f>AC111*AA116/100</f>
        <v>13.8</v>
      </c>
      <c r="AD116" s="173">
        <f>AD111*AB116/100*X116/Z116</f>
        <v>21.870760563380284</v>
      </c>
      <c r="AE116" s="175"/>
      <c r="AF116" s="175"/>
      <c r="AG116" s="174">
        <f>AC116-(AC120+AC119)/2</f>
        <v>-48.3</v>
      </c>
      <c r="AH116" s="174">
        <f>AD116-AE111</f>
        <v>11.564736466994741</v>
      </c>
      <c r="AI116" s="174">
        <f>AH109*AG116+AH110*AH116</f>
        <v>-35.49386671988041</v>
      </c>
      <c r="AJ116" s="174">
        <f>AH109*AH116-AH110*AG116</f>
        <v>34.73929410368615</v>
      </c>
      <c r="AK116" s="163"/>
    </row>
    <row r="117" spans="1:37" ht="12">
      <c r="A117" s="110"/>
      <c r="B117" s="110"/>
      <c r="C117" s="110"/>
      <c r="D117" s="110"/>
      <c r="E117" s="110"/>
      <c r="F117" s="110"/>
      <c r="G117" s="109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86"/>
      <c r="S117" s="110"/>
      <c r="T117" s="110"/>
      <c r="U117" s="5"/>
      <c r="V117" s="27"/>
      <c r="W117" s="27"/>
      <c r="X117" s="225">
        <v>16.9</v>
      </c>
      <c r="Y117" s="8">
        <v>5</v>
      </c>
      <c r="Z117" s="9">
        <f t="shared" si="28"/>
        <v>21.9</v>
      </c>
      <c r="AA117" s="161">
        <v>20</v>
      </c>
      <c r="AB117" s="132">
        <v>95</v>
      </c>
      <c r="AC117" s="173">
        <f>AC111*AA117/100</f>
        <v>27.6</v>
      </c>
      <c r="AD117" s="173">
        <f>AD111*AB117/100*X117/Z117</f>
        <v>26.685022831050226</v>
      </c>
      <c r="AE117" s="175"/>
      <c r="AF117" s="175"/>
      <c r="AG117" s="174">
        <f>AC117-(AC120+AC119)/2</f>
        <v>-34.5</v>
      </c>
      <c r="AH117" s="174">
        <f>AD117-AE111</f>
        <v>16.378998734664684</v>
      </c>
      <c r="AI117" s="174">
        <f>AH109*AG117+AH110*AH117</f>
        <v>-21.181245182070747</v>
      </c>
      <c r="AJ117" s="174">
        <f>AH109*AH117-AH110*AG117</f>
        <v>31.77855333534162</v>
      </c>
      <c r="AK117" s="163"/>
    </row>
    <row r="118" spans="1:37" ht="12">
      <c r="A118" s="110"/>
      <c r="B118" s="110"/>
      <c r="C118" s="110"/>
      <c r="D118" s="110"/>
      <c r="E118" s="110"/>
      <c r="F118" s="110"/>
      <c r="G118" s="109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86"/>
      <c r="S118" s="110"/>
      <c r="T118" s="110"/>
      <c r="U118" s="5"/>
      <c r="V118" s="27"/>
      <c r="W118" s="27"/>
      <c r="X118" s="27">
        <v>19.5</v>
      </c>
      <c r="Y118" s="8">
        <v>5.4</v>
      </c>
      <c r="Z118" s="9">
        <f t="shared" si="28"/>
        <v>24.9</v>
      </c>
      <c r="AA118" s="161">
        <v>30</v>
      </c>
      <c r="AB118" s="132">
        <v>100</v>
      </c>
      <c r="AC118" s="173">
        <f>AC111*AA118/100</f>
        <v>41.4</v>
      </c>
      <c r="AD118" s="173">
        <f>AD111*AB118/100*X118/Z118</f>
        <v>28.50602409638554</v>
      </c>
      <c r="AE118" s="175"/>
      <c r="AF118" s="175"/>
      <c r="AG118" s="174">
        <f>AC118-(AC120+AC119)/2</f>
        <v>-20.700000000000003</v>
      </c>
      <c r="AH118" s="174">
        <f>AD118-AE111</f>
        <v>18.2</v>
      </c>
      <c r="AI118" s="174">
        <f>AH109*AG118+AH110*AH118</f>
        <v>-8.406651660377474</v>
      </c>
      <c r="AJ118" s="174">
        <f>AH109*AH118-AH110*AG118</f>
        <v>26.249918244845503</v>
      </c>
      <c r="AK118" s="163"/>
    </row>
    <row r="119" spans="1:37" ht="12">
      <c r="A119" s="110"/>
      <c r="B119" s="110"/>
      <c r="C119" s="109"/>
      <c r="D119" s="109"/>
      <c r="E119" s="109"/>
      <c r="F119" s="109"/>
      <c r="G119" s="109"/>
      <c r="H119" s="109"/>
      <c r="I119" s="109"/>
      <c r="J119" s="109"/>
      <c r="K119" s="215"/>
      <c r="L119" s="110"/>
      <c r="M119" s="110"/>
      <c r="N119" s="109"/>
      <c r="O119" s="109"/>
      <c r="P119" s="109"/>
      <c r="Q119" s="109"/>
      <c r="R119" s="60"/>
      <c r="S119" s="109"/>
      <c r="T119" s="110"/>
      <c r="U119" s="5"/>
      <c r="V119" s="27"/>
      <c r="W119" s="27"/>
      <c r="X119" s="27">
        <v>19.3</v>
      </c>
      <c r="Y119" s="8">
        <v>5.333333333333333</v>
      </c>
      <c r="Z119" s="9">
        <f t="shared" si="28"/>
        <v>24.633333333333333</v>
      </c>
      <c r="AA119" s="161">
        <v>40</v>
      </c>
      <c r="AB119" s="132">
        <v>99</v>
      </c>
      <c r="AC119" s="223">
        <f>AC111*AA119/100</f>
        <v>55.2</v>
      </c>
      <c r="AD119" s="173">
        <f>AD111*AB119/100*X119/Z119</f>
        <v>28.23388903924222</v>
      </c>
      <c r="AE119" s="175"/>
      <c r="AF119" s="175"/>
      <c r="AG119" s="174">
        <f>AC119-(AC120+AC119)/2</f>
        <v>-6.899999999999999</v>
      </c>
      <c r="AH119" s="174">
        <f>AD119-AE111</f>
        <v>17.92786494285668</v>
      </c>
      <c r="AI119" s="174">
        <f>AH109*AG119+AH110*AH119</f>
        <v>3.292425124548762</v>
      </c>
      <c r="AJ119" s="174">
        <f>AH109*AH119-AH110*AG119</f>
        <v>18.925598490101958</v>
      </c>
      <c r="AK119" s="163"/>
    </row>
    <row r="120" spans="1:37" ht="12">
      <c r="A120" s="110"/>
      <c r="B120" s="110"/>
      <c r="C120" s="110"/>
      <c r="D120" s="110"/>
      <c r="E120" s="110"/>
      <c r="F120" s="110"/>
      <c r="G120" s="109"/>
      <c r="H120" s="110"/>
      <c r="I120" s="110"/>
      <c r="J120" s="110"/>
      <c r="K120" s="109"/>
      <c r="L120" s="216"/>
      <c r="M120" s="216"/>
      <c r="N120" s="110"/>
      <c r="O120" s="110"/>
      <c r="P120" s="110"/>
      <c r="Q120" s="110"/>
      <c r="R120" s="186"/>
      <c r="S120" s="110"/>
      <c r="T120" s="110"/>
      <c r="U120" s="5"/>
      <c r="V120" s="27"/>
      <c r="W120" s="27"/>
      <c r="X120" s="27">
        <v>17.9</v>
      </c>
      <c r="Y120" s="8">
        <v>5.066666666666666</v>
      </c>
      <c r="Z120" s="9">
        <f t="shared" si="28"/>
        <v>22.966666666666665</v>
      </c>
      <c r="AA120" s="161">
        <v>50</v>
      </c>
      <c r="AB120" s="132">
        <v>95</v>
      </c>
      <c r="AC120" s="223">
        <f>AC111*AA120/100</f>
        <v>69</v>
      </c>
      <c r="AD120" s="173">
        <f>AD111*AB120/100*X120/Z120</f>
        <v>26.95132075471698</v>
      </c>
      <c r="AE120" s="175"/>
      <c r="AF120" s="175"/>
      <c r="AG120" s="174">
        <f>AC120-(AC120+AC119)/2</f>
        <v>6.899999999999999</v>
      </c>
      <c r="AH120" s="174">
        <f>AD120-AE111</f>
        <v>16.64529665833144</v>
      </c>
      <c r="AI120" s="174">
        <f>AH109*AG120+AH110*AH120</f>
        <v>14.47231076279043</v>
      </c>
      <c r="AJ120" s="174">
        <f>AH109*AH120-AH110*AG120</f>
        <v>10.734436269738623</v>
      </c>
      <c r="AK120" s="163"/>
    </row>
    <row r="121" spans="1:37" ht="12.75">
      <c r="A121" s="110"/>
      <c r="B121" s="217"/>
      <c r="C121" s="217"/>
      <c r="D121" s="217"/>
      <c r="E121" s="217"/>
      <c r="F121" s="217"/>
      <c r="G121" s="212"/>
      <c r="H121" s="217"/>
      <c r="I121" s="217"/>
      <c r="J121" s="217"/>
      <c r="K121" s="218"/>
      <c r="L121" s="218"/>
      <c r="M121" s="218"/>
      <c r="N121" s="217"/>
      <c r="O121" s="217"/>
      <c r="P121" s="217"/>
      <c r="Q121" s="217"/>
      <c r="R121" s="186"/>
      <c r="S121" s="217"/>
      <c r="T121" s="110"/>
      <c r="U121" s="5"/>
      <c r="V121" s="27"/>
      <c r="W121" s="27"/>
      <c r="X121" s="27">
        <v>16</v>
      </c>
      <c r="Y121" s="8">
        <v>4.533333333333333</v>
      </c>
      <c r="Z121" s="9">
        <f t="shared" si="28"/>
        <v>20.53333333333333</v>
      </c>
      <c r="AA121" s="161">
        <v>60</v>
      </c>
      <c r="AB121" s="132">
        <v>87</v>
      </c>
      <c r="AC121" s="173">
        <f>AC111*AA121/100</f>
        <v>82.8</v>
      </c>
      <c r="AD121" s="173">
        <f>AD111*AB121/100*X121/Z121</f>
        <v>24.676363636363636</v>
      </c>
      <c r="AE121" s="175"/>
      <c r="AF121" s="175"/>
      <c r="AG121" s="174">
        <f>AC121-(AC120+AC119)/2</f>
        <v>20.699999999999996</v>
      </c>
      <c r="AH121" s="174">
        <f>AD121-AE111</f>
        <v>14.370339539978094</v>
      </c>
      <c r="AI121" s="174">
        <f>AH109*AG121+AH110*AH121</f>
        <v>25.142277009399283</v>
      </c>
      <c r="AJ121" s="174">
        <f>AH109*AH121-AH110*AG121</f>
        <v>1.6919117225463811</v>
      </c>
      <c r="AK121" s="163"/>
    </row>
    <row r="122" spans="1:37" ht="12.75">
      <c r="A122" s="110"/>
      <c r="B122" s="217"/>
      <c r="C122" s="217"/>
      <c r="D122" s="217"/>
      <c r="E122" s="217"/>
      <c r="F122" s="217"/>
      <c r="G122" s="212"/>
      <c r="H122" s="217"/>
      <c r="I122" s="217"/>
      <c r="J122" s="217"/>
      <c r="K122" s="218"/>
      <c r="L122" s="218"/>
      <c r="M122" s="218"/>
      <c r="N122" s="217"/>
      <c r="O122" s="217"/>
      <c r="P122" s="217"/>
      <c r="Q122" s="217"/>
      <c r="R122" s="186"/>
      <c r="S122" s="217"/>
      <c r="T122" s="110"/>
      <c r="U122" s="29"/>
      <c r="V122" s="27"/>
      <c r="W122" s="27"/>
      <c r="X122" s="27">
        <v>12.9</v>
      </c>
      <c r="Y122" s="8">
        <v>3.466666666666667</v>
      </c>
      <c r="Z122" s="9">
        <f t="shared" si="28"/>
        <v>16.366666666666667</v>
      </c>
      <c r="AA122" s="161">
        <v>70</v>
      </c>
      <c r="AB122" s="132">
        <v>74</v>
      </c>
      <c r="AC122" s="173">
        <f>AC111*AA122/100</f>
        <v>96.6</v>
      </c>
      <c r="AD122" s="173">
        <f>AD111*AB122/100*X122/Z122</f>
        <v>21.230615071283097</v>
      </c>
      <c r="AE122" s="15"/>
      <c r="AF122" s="15"/>
      <c r="AG122" s="174">
        <f>AC122-(AC120+AC119)/2</f>
        <v>34.49999999999999</v>
      </c>
      <c r="AH122" s="174">
        <f>AD122-AE111</f>
        <v>10.924590974897555</v>
      </c>
      <c r="AI122" s="174">
        <f>AH109*AG122+AH110*AH122</f>
        <v>35.210655207157274</v>
      </c>
      <c r="AJ122" s="174">
        <f>AH109*AH122-AH110*AG122</f>
        <v>-8.355025305257966</v>
      </c>
      <c r="AK122" s="163"/>
    </row>
    <row r="123" spans="1:37" ht="12.75">
      <c r="A123" s="110"/>
      <c r="B123" s="217"/>
      <c r="C123" s="217"/>
      <c r="D123" s="217"/>
      <c r="E123" s="217"/>
      <c r="F123" s="217"/>
      <c r="G123" s="212"/>
      <c r="H123" s="217"/>
      <c r="I123" s="217"/>
      <c r="J123" s="217"/>
      <c r="K123" s="218"/>
      <c r="L123" s="218"/>
      <c r="M123" s="218"/>
      <c r="N123" s="217"/>
      <c r="O123" s="217"/>
      <c r="P123" s="217"/>
      <c r="Q123" s="217"/>
      <c r="R123" s="186"/>
      <c r="S123" s="217"/>
      <c r="T123" s="110"/>
      <c r="U123" s="13"/>
      <c r="V123" s="14"/>
      <c r="W123" s="14"/>
      <c r="X123" s="27">
        <v>9.8</v>
      </c>
      <c r="Y123" s="8">
        <v>2.3333333333333335</v>
      </c>
      <c r="Z123" s="9">
        <f t="shared" si="28"/>
        <v>12.133333333333335</v>
      </c>
      <c r="AA123" s="161">
        <v>80</v>
      </c>
      <c r="AB123" s="132">
        <v>56</v>
      </c>
      <c r="AC123" s="173">
        <f>AC111*AA123/100</f>
        <v>110.4</v>
      </c>
      <c r="AD123" s="173">
        <f>AD111*AB123/100*X123/Z123</f>
        <v>16.464</v>
      </c>
      <c r="AE123" s="15"/>
      <c r="AF123" s="175"/>
      <c r="AG123" s="174">
        <f>AC123-(AC120+AC119)/2</f>
        <v>48.300000000000004</v>
      </c>
      <c r="AH123" s="174">
        <f>AD123-AE111</f>
        <v>6.157975903614457</v>
      </c>
      <c r="AI123" s="174">
        <f>AH109*AG123+AH110*AH123</f>
        <v>44.60033225239139</v>
      </c>
      <c r="AJ123" s="174">
        <f>AH109*AH123-AH110*AG123</f>
        <v>-19.53512298926713</v>
      </c>
      <c r="AK123" s="163"/>
    </row>
    <row r="124" spans="1:37" ht="12.75">
      <c r="A124" s="110"/>
      <c r="B124" s="217"/>
      <c r="C124" s="217"/>
      <c r="D124" s="217"/>
      <c r="E124" s="217"/>
      <c r="F124" s="217"/>
      <c r="G124" s="212"/>
      <c r="H124" s="217"/>
      <c r="I124" s="217"/>
      <c r="J124" s="217"/>
      <c r="K124" s="218"/>
      <c r="L124" s="218"/>
      <c r="M124" s="218"/>
      <c r="N124" s="217"/>
      <c r="O124" s="217"/>
      <c r="P124" s="217"/>
      <c r="Q124" s="217"/>
      <c r="R124" s="186"/>
      <c r="S124" s="217"/>
      <c r="T124" s="110"/>
      <c r="X124" s="27">
        <v>6</v>
      </c>
      <c r="Y124" s="8">
        <v>1.3333333333333333</v>
      </c>
      <c r="Z124" s="9">
        <f t="shared" si="28"/>
        <v>7.333333333333333</v>
      </c>
      <c r="AA124" s="161">
        <v>90</v>
      </c>
      <c r="AB124" s="132">
        <v>35</v>
      </c>
      <c r="AC124" s="173">
        <f>AC111*AA124/100</f>
        <v>124.2</v>
      </c>
      <c r="AD124" s="173">
        <f>AD111*AB124/100*X124/Z124</f>
        <v>10.423636363636364</v>
      </c>
      <c r="AE124" s="15"/>
      <c r="AF124" s="15"/>
      <c r="AG124" s="174">
        <f>AC124-(AC120+AC119)/2</f>
        <v>62.1</v>
      </c>
      <c r="AH124" s="174">
        <f>AD124-AE111</f>
        <v>0.11761226725082174</v>
      </c>
      <c r="AI124" s="174">
        <f>AH109*AG124+AH110*AH124</f>
        <v>53.33551876804791</v>
      </c>
      <c r="AJ124" s="174">
        <f>AH109*AH124-AH110*AG124</f>
        <v>-31.807959230177232</v>
      </c>
      <c r="AK124" s="163"/>
    </row>
    <row r="125" spans="1:37" ht="12.75">
      <c r="A125" s="110"/>
      <c r="B125" s="217"/>
      <c r="C125" s="217"/>
      <c r="D125" s="217"/>
      <c r="E125" s="217"/>
      <c r="F125" s="217"/>
      <c r="G125" s="212"/>
      <c r="H125" s="217"/>
      <c r="I125" s="217"/>
      <c r="J125" s="217"/>
      <c r="K125" s="218"/>
      <c r="L125" s="218"/>
      <c r="M125" s="218"/>
      <c r="N125" s="217"/>
      <c r="O125" s="217"/>
      <c r="P125" s="217"/>
      <c r="Q125" s="217"/>
      <c r="R125" s="186"/>
      <c r="S125" s="217"/>
      <c r="T125" s="110"/>
      <c r="X125" s="27">
        <v>2.7</v>
      </c>
      <c r="Y125" s="8">
        <v>0.6666666666666666</v>
      </c>
      <c r="Z125" s="9">
        <f t="shared" si="28"/>
        <v>3.3666666666666667</v>
      </c>
      <c r="AA125" s="161">
        <v>100</v>
      </c>
      <c r="AB125" s="132">
        <v>7</v>
      </c>
      <c r="AC125" s="173">
        <f>AC111*AA125/100</f>
        <v>138</v>
      </c>
      <c r="AD125" s="173">
        <f>AD111*AB125/100*X125/Z125</f>
        <v>2.0434455445544555</v>
      </c>
      <c r="AE125" s="15"/>
      <c r="AF125" s="15"/>
      <c r="AG125" s="174">
        <f>AC125-(AC120+AC119)/2</f>
        <v>75.9</v>
      </c>
      <c r="AH125" s="174">
        <f>AD125-AE111</f>
        <v>-8.262578551831087</v>
      </c>
      <c r="AI125" s="174">
        <f>AH109*AG125+AH110*AH125</f>
        <v>60.8684313232698</v>
      </c>
      <c r="AJ125" s="174">
        <f>AH109*AH125-AH110*AG125</f>
        <v>-46.08811422231948</v>
      </c>
      <c r="AK125" s="163"/>
    </row>
    <row r="126" spans="1:37" ht="12.75">
      <c r="A126" s="110"/>
      <c r="B126" s="217"/>
      <c r="C126" s="217"/>
      <c r="D126" s="217"/>
      <c r="E126" s="217"/>
      <c r="F126" s="217"/>
      <c r="G126" s="212"/>
      <c r="H126" s="217"/>
      <c r="I126" s="217"/>
      <c r="J126" s="217"/>
      <c r="K126" s="218"/>
      <c r="L126" s="218"/>
      <c r="M126" s="218"/>
      <c r="N126" s="217"/>
      <c r="O126" s="217"/>
      <c r="P126" s="217"/>
      <c r="Q126" s="217"/>
      <c r="R126" s="186"/>
      <c r="S126" s="217"/>
      <c r="T126" s="110"/>
      <c r="AA126" s="161">
        <v>100</v>
      </c>
      <c r="AB126" s="222">
        <v>0</v>
      </c>
      <c r="AC126" s="173">
        <f>AC111*AA126/100</f>
        <v>138</v>
      </c>
      <c r="AD126" s="173">
        <f>AD111*AB126/100</f>
        <v>0</v>
      </c>
      <c r="AE126" s="15"/>
      <c r="AF126" s="15"/>
      <c r="AG126" s="174">
        <f>AC126-(AC120+AC119)/2</f>
        <v>75.9</v>
      </c>
      <c r="AH126" s="174">
        <f>AD126-AE111</f>
        <v>-10.306024096385542</v>
      </c>
      <c r="AI126" s="174">
        <f>AH109*AG126+AH110*AH126</f>
        <v>59.818447210797935</v>
      </c>
      <c r="AJ126" s="174">
        <f>AH109*AH126-AH110*AG126</f>
        <v>-47.84116957145029</v>
      </c>
      <c r="AK126" s="163"/>
    </row>
    <row r="127" spans="1:37" ht="12.75">
      <c r="A127" s="110"/>
      <c r="B127" s="217"/>
      <c r="C127" s="217"/>
      <c r="D127" s="217"/>
      <c r="E127" s="217"/>
      <c r="F127" s="217"/>
      <c r="G127" s="212"/>
      <c r="H127" s="217"/>
      <c r="I127" s="217"/>
      <c r="J127" s="217"/>
      <c r="K127" s="218"/>
      <c r="L127" s="218"/>
      <c r="M127" s="218"/>
      <c r="N127" s="217"/>
      <c r="O127" s="217"/>
      <c r="P127" s="217"/>
      <c r="Q127" s="217"/>
      <c r="R127" s="186"/>
      <c r="S127" s="217"/>
      <c r="T127" s="110"/>
      <c r="AA127" s="161">
        <v>100</v>
      </c>
      <c r="AB127" s="222"/>
      <c r="AC127" s="173">
        <f>AC111*AA127/100</f>
        <v>138</v>
      </c>
      <c r="AD127" s="173">
        <f>-AD125/X125*Y125</f>
        <v>-0.5045544554455446</v>
      </c>
      <c r="AE127" s="173"/>
      <c r="AF127" s="15"/>
      <c r="AG127" s="174">
        <f>AC127-(AC120+AC119)/2</f>
        <v>75.9</v>
      </c>
      <c r="AH127" s="174">
        <f>AD127-AE111</f>
        <v>-10.810578551831087</v>
      </c>
      <c r="AI127" s="174">
        <f>AH109*AG127+AH110*AH127</f>
        <v>59.55919187438513</v>
      </c>
      <c r="AJ127" s="174">
        <f>AH109*AH127-AH110*AG127</f>
        <v>-48.274022744075175</v>
      </c>
      <c r="AK127" s="163"/>
    </row>
    <row r="128" spans="1:37" ht="12.75">
      <c r="A128" s="110"/>
      <c r="B128" s="217"/>
      <c r="C128" s="217"/>
      <c r="D128" s="217"/>
      <c r="E128" s="217"/>
      <c r="F128" s="217"/>
      <c r="G128" s="212"/>
      <c r="H128" s="217"/>
      <c r="I128" s="217"/>
      <c r="J128" s="217"/>
      <c r="K128" s="218"/>
      <c r="L128" s="218"/>
      <c r="M128" s="218"/>
      <c r="N128" s="217"/>
      <c r="O128" s="217"/>
      <c r="P128" s="217"/>
      <c r="Q128" s="217"/>
      <c r="R128" s="186"/>
      <c r="S128" s="217"/>
      <c r="T128" s="110"/>
      <c r="AA128" s="161">
        <v>90</v>
      </c>
      <c r="AB128" s="222"/>
      <c r="AC128" s="173">
        <f>AC111*AA128/100</f>
        <v>124.2</v>
      </c>
      <c r="AD128" s="173">
        <f>-AD124/X124*Y124</f>
        <v>-2.3163636363636364</v>
      </c>
      <c r="AE128" s="173"/>
      <c r="AF128" s="15"/>
      <c r="AG128" s="174">
        <f>AC128-(AC120+AC119)/2</f>
        <v>62.1</v>
      </c>
      <c r="AH128" s="174">
        <f>AD128-AE111</f>
        <v>-12.622387732749178</v>
      </c>
      <c r="AI128" s="174">
        <f>AH109*AG128+AH110*AH128</f>
        <v>46.78932152362455</v>
      </c>
      <c r="AJ128" s="174">
        <f>AH109*AH128-AH110*AG128</f>
        <v>-42.737501838955694</v>
      </c>
      <c r="AK128" s="163"/>
    </row>
    <row r="129" spans="1:37" ht="12.75">
      <c r="A129" s="110"/>
      <c r="B129" s="217"/>
      <c r="C129" s="217"/>
      <c r="D129" s="217"/>
      <c r="E129" s="217"/>
      <c r="F129" s="217"/>
      <c r="G129" s="212"/>
      <c r="H129" s="217"/>
      <c r="I129" s="217"/>
      <c r="J129" s="217"/>
      <c r="K129" s="218"/>
      <c r="L129" s="218"/>
      <c r="M129" s="218"/>
      <c r="N129" s="217"/>
      <c r="O129" s="217"/>
      <c r="P129" s="217"/>
      <c r="Q129" s="217"/>
      <c r="R129" s="186"/>
      <c r="S129" s="217"/>
      <c r="T129" s="110"/>
      <c r="AA129" s="161">
        <v>80</v>
      </c>
      <c r="AB129" s="222"/>
      <c r="AC129" s="173">
        <f>AC111*AA129/100</f>
        <v>110.4</v>
      </c>
      <c r="AD129" s="173">
        <f>-AD123/X123*Y123</f>
        <v>-3.9199999999999995</v>
      </c>
      <c r="AE129" s="173"/>
      <c r="AF129" s="15"/>
      <c r="AG129" s="174">
        <f>AC129-(AC120+AC119)/2</f>
        <v>48.300000000000004</v>
      </c>
      <c r="AH129" s="174">
        <f>AD129-AE111</f>
        <v>-14.226024096385542</v>
      </c>
      <c r="AI129" s="174">
        <f>AH109*AG129+AH110*AH129</f>
        <v>34.12641666131401</v>
      </c>
      <c r="AJ129" s="174">
        <f>AH109*AH129-AH110*AG129</f>
        <v>-37.02239116331267</v>
      </c>
      <c r="AK129" s="163"/>
    </row>
    <row r="130" spans="1:37" ht="12.75">
      <c r="A130" s="110"/>
      <c r="B130" s="217"/>
      <c r="C130" s="217"/>
      <c r="D130" s="217"/>
      <c r="E130" s="217"/>
      <c r="F130" s="217"/>
      <c r="G130" s="212"/>
      <c r="H130" s="217"/>
      <c r="I130" s="217"/>
      <c r="J130" s="217"/>
      <c r="K130" s="218"/>
      <c r="L130" s="218"/>
      <c r="M130" s="218"/>
      <c r="N130" s="217"/>
      <c r="O130" s="217"/>
      <c r="P130" s="217"/>
      <c r="Q130" s="217"/>
      <c r="R130" s="186"/>
      <c r="S130" s="217"/>
      <c r="T130" s="110"/>
      <c r="AA130" s="161">
        <v>70</v>
      </c>
      <c r="AB130" s="222"/>
      <c r="AC130" s="173">
        <f>AC111*AA130/100</f>
        <v>96.6</v>
      </c>
      <c r="AD130" s="173">
        <f>-AD122/X122*Y122</f>
        <v>-5.705384928716905</v>
      </c>
      <c r="AE130" s="173"/>
      <c r="AF130" s="15"/>
      <c r="AG130" s="174">
        <f>AC130-(AC120+AC119)/2</f>
        <v>34.49999999999999</v>
      </c>
      <c r="AH130" s="174">
        <f>AD130-AE111</f>
        <v>-16.011409025102445</v>
      </c>
      <c r="AI130" s="174">
        <f>AH109*AG130+AH110*AH130</f>
        <v>21.370123890376448</v>
      </c>
      <c r="AJ130" s="174">
        <f>AH109*AH130-AH110*AG130</f>
        <v>-31.463201106675292</v>
      </c>
      <c r="AK130" s="163"/>
    </row>
    <row r="131" spans="1:37" ht="12.75">
      <c r="A131" s="110"/>
      <c r="B131" s="217"/>
      <c r="C131" s="217"/>
      <c r="D131" s="217"/>
      <c r="E131" s="217"/>
      <c r="F131" s="217"/>
      <c r="G131" s="212"/>
      <c r="H131" s="217"/>
      <c r="I131" s="217"/>
      <c r="J131" s="217"/>
      <c r="K131" s="218"/>
      <c r="L131" s="218"/>
      <c r="M131" s="218"/>
      <c r="N131" s="217"/>
      <c r="O131" s="217"/>
      <c r="P131" s="217"/>
      <c r="Q131" s="217"/>
      <c r="R131" s="186"/>
      <c r="S131" s="217"/>
      <c r="T131" s="110"/>
      <c r="AA131" s="161">
        <v>60</v>
      </c>
      <c r="AB131" s="222"/>
      <c r="AC131" s="173">
        <f>AC111*AA131/100</f>
        <v>82.8</v>
      </c>
      <c r="AD131" s="173">
        <f>-AD121/X121*Y121</f>
        <v>-6.991636363636363</v>
      </c>
      <c r="AE131" s="173"/>
      <c r="AF131" s="15"/>
      <c r="AG131" s="174">
        <f>AC131-(AC120+AC119)/2</f>
        <v>20.699999999999996</v>
      </c>
      <c r="AH131" s="174">
        <f>AD131-AE111</f>
        <v>-17.297660460021905</v>
      </c>
      <c r="AI131" s="174">
        <f>AH109*AG131+AH110*AH131</f>
        <v>8.870301001832638</v>
      </c>
      <c r="AJ131" s="174">
        <f>AH109*AH131-AH110*AG131</f>
        <v>-25.475808476417228</v>
      </c>
      <c r="AK131" s="163"/>
    </row>
    <row r="132" spans="1:37" ht="12.75">
      <c r="A132" s="110"/>
      <c r="B132" s="217"/>
      <c r="C132" s="217"/>
      <c r="D132" s="217"/>
      <c r="E132" s="217"/>
      <c r="F132" s="217"/>
      <c r="G132" s="212"/>
      <c r="H132" s="217"/>
      <c r="I132" s="217"/>
      <c r="J132" s="217"/>
      <c r="K132" s="218"/>
      <c r="L132" s="218"/>
      <c r="M132" s="218"/>
      <c r="N132" s="217"/>
      <c r="O132" s="217"/>
      <c r="P132" s="217"/>
      <c r="Q132" s="217"/>
      <c r="R132" s="186"/>
      <c r="S132" s="217"/>
      <c r="T132" s="110"/>
      <c r="AA132" s="161">
        <v>50</v>
      </c>
      <c r="AB132" s="222"/>
      <c r="AC132" s="173">
        <f>AC111*AA132/100</f>
        <v>69</v>
      </c>
      <c r="AD132" s="173">
        <f>-AD120/X120*Y120</f>
        <v>-7.628679245283019</v>
      </c>
      <c r="AE132" s="173"/>
      <c r="AF132" s="15"/>
      <c r="AG132" s="174">
        <f>AC132-(AC120+AC119)/2</f>
        <v>6.899999999999999</v>
      </c>
      <c r="AH132" s="174">
        <f>AD132-AE111</f>
        <v>-17.93470334166856</v>
      </c>
      <c r="AI132" s="174">
        <f>AH109*AG132+AH110*AH132</f>
        <v>-3.2959389006444137</v>
      </c>
      <c r="AJ132" s="174">
        <f>AH109*AH132-AH110*AG132</f>
        <v>-18.93146509694578</v>
      </c>
      <c r="AK132" s="163"/>
    </row>
    <row r="133" spans="1:37" ht="12.75">
      <c r="A133" s="110"/>
      <c r="B133" s="217"/>
      <c r="C133" s="217"/>
      <c r="D133" s="217"/>
      <c r="E133" s="217"/>
      <c r="F133" s="217"/>
      <c r="G133" s="212"/>
      <c r="H133" s="217"/>
      <c r="I133" s="217"/>
      <c r="J133" s="217"/>
      <c r="K133" s="218"/>
      <c r="L133" s="218"/>
      <c r="M133" s="218"/>
      <c r="N133" s="217"/>
      <c r="O133" s="217"/>
      <c r="P133" s="217"/>
      <c r="Q133" s="217"/>
      <c r="R133" s="186"/>
      <c r="S133" s="217"/>
      <c r="T133" s="110"/>
      <c r="AA133" s="161">
        <v>40</v>
      </c>
      <c r="AB133" s="222"/>
      <c r="AC133" s="173">
        <f>AC111*AA133/100</f>
        <v>55.2</v>
      </c>
      <c r="AD133" s="173">
        <f>-AD119/X119*Y119</f>
        <v>-7.802110960757781</v>
      </c>
      <c r="AE133" s="173"/>
      <c r="AF133" s="15"/>
      <c r="AG133" s="174">
        <f>AC133-(AC120+AC119)/2</f>
        <v>-6.899999999999999</v>
      </c>
      <c r="AH133" s="174">
        <f>AD133-AE111</f>
        <v>-18.108135057143322</v>
      </c>
      <c r="AI133" s="174">
        <f>AH109*AG133+AH110*AH133</f>
        <v>-15.22396136682018</v>
      </c>
      <c r="AJ133" s="174">
        <f>AH109*AH133-AH110*AG133</f>
        <v>-11.989393460442841</v>
      </c>
      <c r="AK133" s="163"/>
    </row>
    <row r="134" spans="1:37" ht="12.75">
      <c r="A134" s="110"/>
      <c r="B134" s="217"/>
      <c r="C134" s="217"/>
      <c r="D134" s="217"/>
      <c r="E134" s="217"/>
      <c r="F134" s="217"/>
      <c r="G134" s="212"/>
      <c r="H134" s="217"/>
      <c r="I134" s="217"/>
      <c r="J134" s="217"/>
      <c r="K134" s="218"/>
      <c r="L134" s="218"/>
      <c r="M134" s="218"/>
      <c r="N134" s="217"/>
      <c r="O134" s="217"/>
      <c r="P134" s="217"/>
      <c r="Q134" s="217"/>
      <c r="R134" s="186"/>
      <c r="S134" s="217"/>
      <c r="T134" s="110"/>
      <c r="AA134" s="161">
        <v>30</v>
      </c>
      <c r="AB134" s="222"/>
      <c r="AC134" s="173">
        <f>AC111*AA134/100</f>
        <v>41.4</v>
      </c>
      <c r="AD134" s="173">
        <f>-AD118/X118*Y118</f>
        <v>-7.893975903614458</v>
      </c>
      <c r="AE134" s="173"/>
      <c r="AF134" s="15"/>
      <c r="AG134" s="174">
        <f>AC134-(AC120+AC119)/2</f>
        <v>-20.700000000000003</v>
      </c>
      <c r="AH134" s="174">
        <f>AD134-AE111</f>
        <v>-18.2</v>
      </c>
      <c r="AI134" s="174">
        <f>AH109*AG134+AH110*AH134</f>
        <v>-27.11007235872994</v>
      </c>
      <c r="AJ134" s="174">
        <f>AH109*AH134-AH110*AG134</f>
        <v>-4.977346351664396</v>
      </c>
      <c r="AK134" s="163"/>
    </row>
    <row r="135" spans="1:37" ht="12.75">
      <c r="A135" s="110"/>
      <c r="B135" s="217"/>
      <c r="C135" s="217"/>
      <c r="D135" s="217"/>
      <c r="E135" s="217"/>
      <c r="F135" s="217"/>
      <c r="G135" s="212"/>
      <c r="H135" s="217"/>
      <c r="I135" s="217"/>
      <c r="J135" s="217"/>
      <c r="K135" s="218"/>
      <c r="L135" s="218"/>
      <c r="M135" s="218"/>
      <c r="N135" s="217"/>
      <c r="O135" s="217"/>
      <c r="P135" s="217"/>
      <c r="Q135" s="217"/>
      <c r="R135" s="186"/>
      <c r="S135" s="217"/>
      <c r="T135" s="110"/>
      <c r="AA135" s="161">
        <v>20</v>
      </c>
      <c r="AB135" s="222"/>
      <c r="AC135" s="173">
        <f>AC111*AA135/100</f>
        <v>27.6</v>
      </c>
      <c r="AD135" s="173">
        <f>-AD117/X117*Y117</f>
        <v>-7.894977168949771</v>
      </c>
      <c r="AE135" s="173"/>
      <c r="AF135" s="15"/>
      <c r="AG135" s="174">
        <f>AC135-(AC120+AC119)/2</f>
        <v>-34.5</v>
      </c>
      <c r="AH135" s="174">
        <f>AD135-AE111</f>
        <v>-18.201001265335314</v>
      </c>
      <c r="AI135" s="174">
        <f>AH109*AG135+AH110*AH135</f>
        <v>-38.94949484550559</v>
      </c>
      <c r="AJ135" s="174">
        <f>AH109*AH135-AH110*AG135</f>
        <v>2.112651968657218</v>
      </c>
      <c r="AK135" s="163"/>
    </row>
    <row r="136" spans="1:37" ht="12.75">
      <c r="A136" s="110"/>
      <c r="B136" s="217"/>
      <c r="C136" s="217"/>
      <c r="D136" s="217"/>
      <c r="E136" s="217"/>
      <c r="F136" s="217"/>
      <c r="G136" s="212"/>
      <c r="H136" s="217"/>
      <c r="I136" s="217"/>
      <c r="J136" s="217"/>
      <c r="K136" s="218"/>
      <c r="L136" s="218"/>
      <c r="M136" s="218"/>
      <c r="N136" s="217"/>
      <c r="O136" s="217"/>
      <c r="P136" s="217"/>
      <c r="Q136" s="217"/>
      <c r="R136" s="186"/>
      <c r="S136" s="217"/>
      <c r="T136" s="110"/>
      <c r="AA136" s="161">
        <v>10</v>
      </c>
      <c r="AB136" s="222"/>
      <c r="AC136" s="173">
        <f>AC111*AA136/100</f>
        <v>13.8</v>
      </c>
      <c r="AD136" s="173">
        <f>-AD116/X116*Y116</f>
        <v>-6.8852394366197185</v>
      </c>
      <c r="AE136" s="173"/>
      <c r="AF136" s="15"/>
      <c r="AG136" s="174">
        <f>AC136-(AC120+AC119)/2</f>
        <v>-48.3</v>
      </c>
      <c r="AH136" s="174">
        <f>AD136-AE111</f>
        <v>-17.191263533005262</v>
      </c>
      <c r="AI136" s="174">
        <f>AH109*AG136+AH110*AH136</f>
        <v>-50.26956907157886</v>
      </c>
      <c r="AJ136" s="174">
        <f>AH109*AH136-AH110*AG136</f>
        <v>10.06975507244333</v>
      </c>
      <c r="AK136" s="163"/>
    </row>
    <row r="137" spans="1:37" ht="12.75">
      <c r="A137" s="110"/>
      <c r="B137" s="217"/>
      <c r="C137" s="217"/>
      <c r="D137" s="217"/>
      <c r="E137" s="217"/>
      <c r="F137" s="217"/>
      <c r="G137" s="212"/>
      <c r="H137" s="217"/>
      <c r="I137" s="217"/>
      <c r="J137" s="217"/>
      <c r="K137" s="218"/>
      <c r="L137" s="218"/>
      <c r="M137" s="218"/>
      <c r="N137" s="217"/>
      <c r="O137" s="217"/>
      <c r="P137" s="217"/>
      <c r="Q137" s="217"/>
      <c r="R137" s="186"/>
      <c r="S137" s="217"/>
      <c r="T137" s="110"/>
      <c r="AA137" s="161">
        <v>5</v>
      </c>
      <c r="AB137" s="222"/>
      <c r="AC137" s="173">
        <f>AC111*AA137/100</f>
        <v>6.9</v>
      </c>
      <c r="AD137" s="173">
        <f>-AD115/X115*Y115</f>
        <v>-5.330558472553698</v>
      </c>
      <c r="AE137" s="173"/>
      <c r="AF137" s="15"/>
      <c r="AG137" s="174">
        <f>AC137-(AC120+AC119)/2</f>
        <v>-55.2</v>
      </c>
      <c r="AH137" s="174">
        <f>AD137-AE111</f>
        <v>-15.63658256893924</v>
      </c>
      <c r="AI137" s="174">
        <f>AH109*AG137+AH110*AH137</f>
        <v>-55.390180983481926</v>
      </c>
      <c r="AJ137" s="174">
        <f>AH109*AH137-AH110*AG137</f>
        <v>14.948931903396048</v>
      </c>
      <c r="AK137" s="163"/>
    </row>
    <row r="138" spans="1:37" ht="12.75">
      <c r="A138" s="110"/>
      <c r="B138" s="217"/>
      <c r="C138" s="217"/>
      <c r="D138" s="217"/>
      <c r="E138" s="217"/>
      <c r="F138" s="217"/>
      <c r="G138" s="212"/>
      <c r="H138" s="217"/>
      <c r="I138" s="217"/>
      <c r="J138" s="217"/>
      <c r="K138" s="218"/>
      <c r="L138" s="218"/>
      <c r="M138" s="218"/>
      <c r="N138" s="217"/>
      <c r="O138" s="217"/>
      <c r="P138" s="217"/>
      <c r="Q138" s="217"/>
      <c r="R138" s="186"/>
      <c r="S138" s="217"/>
      <c r="T138" s="110"/>
      <c r="AA138" s="161">
        <v>2.5</v>
      </c>
      <c r="AB138" s="15"/>
      <c r="AC138" s="173">
        <f>AC111*AA138/100</f>
        <v>3.45</v>
      </c>
      <c r="AD138" s="172">
        <f>-AD114/X114*Y114</f>
        <v>-3.731</v>
      </c>
      <c r="AE138" s="15"/>
      <c r="AF138" s="15"/>
      <c r="AG138" s="174">
        <f>AC138-(AC120+AC119)/2</f>
        <v>-58.65</v>
      </c>
      <c r="AH138" s="174">
        <f>AD138-AE111</f>
        <v>-14.037024096385542</v>
      </c>
      <c r="AI138" s="174">
        <f>AH109*AG138+AH110*AH138</f>
        <v>-57.52800647288228</v>
      </c>
      <c r="AJ138" s="174">
        <f>AH109*AH138-AH110*AG138</f>
        <v>18.09389446024603</v>
      </c>
      <c r="AK138" s="163"/>
    </row>
    <row r="139" spans="1:37" ht="12.75">
      <c r="A139" s="110"/>
      <c r="B139" s="217"/>
      <c r="C139" s="217"/>
      <c r="D139" s="217"/>
      <c r="E139" s="217"/>
      <c r="F139" s="217"/>
      <c r="G139" s="212"/>
      <c r="H139" s="217"/>
      <c r="I139" s="217"/>
      <c r="J139" s="217"/>
      <c r="K139" s="218"/>
      <c r="L139" s="218"/>
      <c r="M139" s="218"/>
      <c r="N139" s="217"/>
      <c r="O139" s="217"/>
      <c r="P139" s="217"/>
      <c r="Q139" s="217"/>
      <c r="R139" s="186"/>
      <c r="S139" s="217"/>
      <c r="T139" s="110"/>
      <c r="AA139" s="161">
        <v>0</v>
      </c>
      <c r="AB139" s="15"/>
      <c r="AC139" s="173">
        <f>AC111*AA139/100</f>
        <v>0</v>
      </c>
      <c r="AD139" s="172">
        <f>-AD113/3</f>
        <v>-1.2133333333333334</v>
      </c>
      <c r="AE139" s="15"/>
      <c r="AF139" s="15"/>
      <c r="AG139" s="174">
        <f>AC139-(AC120+AC119)/2</f>
        <v>-62.1</v>
      </c>
      <c r="AH139" s="174">
        <f>AD139-AE111</f>
        <v>-11.519357429718875</v>
      </c>
      <c r="AI139" s="174">
        <f>AH109*AG139+AH110*AH139</f>
        <v>-59.194080209505195</v>
      </c>
      <c r="AJ139" s="174">
        <f>AH109*AH139-AH110*AG139</f>
        <v>22.02649458593639</v>
      </c>
      <c r="AK139" s="163"/>
    </row>
    <row r="140" spans="1:37" ht="12.75">
      <c r="A140" s="110"/>
      <c r="B140" s="217"/>
      <c r="C140" s="217"/>
      <c r="D140" s="217"/>
      <c r="E140" s="217"/>
      <c r="F140" s="217"/>
      <c r="G140" s="212"/>
      <c r="H140" s="217"/>
      <c r="I140" s="217"/>
      <c r="J140" s="217"/>
      <c r="K140" s="218"/>
      <c r="L140" s="218"/>
      <c r="M140" s="218"/>
      <c r="N140" s="217"/>
      <c r="O140" s="217"/>
      <c r="P140" s="217"/>
      <c r="Q140" s="217"/>
      <c r="R140" s="186"/>
      <c r="S140" s="217"/>
      <c r="T140" s="110"/>
      <c r="AA140" s="161"/>
      <c r="AB140" s="15"/>
      <c r="AC140" s="173"/>
      <c r="AD140" s="172"/>
      <c r="AE140" s="15"/>
      <c r="AF140" s="15"/>
      <c r="AG140" s="174"/>
      <c r="AH140" s="174"/>
      <c r="AI140" s="174">
        <f>AI112</f>
        <v>-58.570632852893446</v>
      </c>
      <c r="AJ140" s="174">
        <f>AJ112</f>
        <v>23.067403405820055</v>
      </c>
      <c r="AK140" s="163"/>
    </row>
    <row r="141" spans="1:37" ht="12.75">
      <c r="A141" s="110"/>
      <c r="B141" s="217"/>
      <c r="C141" s="217"/>
      <c r="D141" s="217"/>
      <c r="E141" s="217"/>
      <c r="F141" s="217"/>
      <c r="G141" s="212"/>
      <c r="H141" s="217"/>
      <c r="I141" s="217"/>
      <c r="J141" s="217"/>
      <c r="K141" s="218"/>
      <c r="L141" s="218"/>
      <c r="M141" s="218"/>
      <c r="N141" s="217"/>
      <c r="O141" s="217"/>
      <c r="P141" s="217"/>
      <c r="Q141" s="217"/>
      <c r="R141" s="186"/>
      <c r="S141" s="217"/>
      <c r="T141" s="110"/>
      <c r="AA141" s="161"/>
      <c r="AB141" s="15"/>
      <c r="AC141" s="173"/>
      <c r="AD141" s="172"/>
      <c r="AE141" s="15"/>
      <c r="AF141" s="15"/>
      <c r="AG141" s="174"/>
      <c r="AH141" s="174"/>
      <c r="AI141" s="174"/>
      <c r="AJ141" s="174"/>
      <c r="AK141" s="163"/>
    </row>
    <row r="142" spans="1:37" ht="12.75">
      <c r="A142" s="110"/>
      <c r="B142" s="217"/>
      <c r="C142" s="217"/>
      <c r="D142" s="217"/>
      <c r="E142" s="217"/>
      <c r="F142" s="217"/>
      <c r="G142" s="212"/>
      <c r="H142" s="217"/>
      <c r="I142" s="217"/>
      <c r="J142" s="217"/>
      <c r="K142" s="218"/>
      <c r="L142" s="218"/>
      <c r="M142" s="218"/>
      <c r="N142" s="217"/>
      <c r="O142" s="217"/>
      <c r="P142" s="217"/>
      <c r="Q142" s="217"/>
      <c r="R142" s="186"/>
      <c r="S142" s="217"/>
      <c r="T142" s="110"/>
      <c r="AA142" s="161"/>
      <c r="AB142" s="15"/>
      <c r="AC142" s="172"/>
      <c r="AD142" s="173"/>
      <c r="AE142" s="15"/>
      <c r="AF142" s="15"/>
      <c r="AG142" s="174"/>
      <c r="AH142" s="174"/>
      <c r="AI142" s="174"/>
      <c r="AJ142" s="174"/>
      <c r="AK142" s="163"/>
    </row>
    <row r="143" spans="27:37" ht="12">
      <c r="AA143" s="161"/>
      <c r="AB143" s="15"/>
      <c r="AC143" s="15"/>
      <c r="AD143" s="15"/>
      <c r="AE143" s="15"/>
      <c r="AF143" s="15"/>
      <c r="AG143" s="15"/>
      <c r="AH143" s="15"/>
      <c r="AI143" s="162"/>
      <c r="AJ143" s="162"/>
      <c r="AK143" s="163"/>
    </row>
    <row r="144" spans="27:37" ht="12">
      <c r="AA144" s="161"/>
      <c r="AB144" s="15"/>
      <c r="AC144" s="15"/>
      <c r="AD144" s="15"/>
      <c r="AE144" s="15"/>
      <c r="AF144" s="15"/>
      <c r="AG144" s="15"/>
      <c r="AH144" s="15"/>
      <c r="AI144" s="162"/>
      <c r="AJ144" s="162"/>
      <c r="AK144" s="163"/>
    </row>
    <row r="145" spans="27:37" ht="12">
      <c r="AA145" s="161"/>
      <c r="AB145" s="15"/>
      <c r="AC145" s="15"/>
      <c r="AD145" s="15"/>
      <c r="AE145" s="15"/>
      <c r="AF145" s="15"/>
      <c r="AG145" s="15"/>
      <c r="AH145" s="15"/>
      <c r="AI145" s="162"/>
      <c r="AJ145" s="162"/>
      <c r="AK145" s="163"/>
    </row>
    <row r="146" spans="27:37" ht="12">
      <c r="AA146" s="161"/>
      <c r="AB146" s="15"/>
      <c r="AC146" s="15"/>
      <c r="AD146" s="15"/>
      <c r="AE146" s="51" t="s">
        <v>0</v>
      </c>
      <c r="AF146" s="164">
        <f>Q38</f>
        <v>210</v>
      </c>
      <c r="AG146" s="15"/>
      <c r="AH146" s="15"/>
      <c r="AI146" s="162"/>
      <c r="AJ146" s="162"/>
      <c r="AK146" s="163"/>
    </row>
    <row r="147" spans="27:37" ht="12">
      <c r="AA147" s="161"/>
      <c r="AB147" s="15" t="s">
        <v>10</v>
      </c>
      <c r="AC147" s="15" t="s">
        <v>20</v>
      </c>
      <c r="AD147" s="15"/>
      <c r="AE147" s="15" t="s">
        <v>11</v>
      </c>
      <c r="AF147" s="176">
        <f>F38</f>
        <v>27.122425955896546</v>
      </c>
      <c r="AG147" s="15" t="s">
        <v>4</v>
      </c>
      <c r="AH147" s="177">
        <f>L38</f>
        <v>0.8900503281294139</v>
      </c>
      <c r="AI147" s="162"/>
      <c r="AJ147" s="162"/>
      <c r="AK147" s="163"/>
    </row>
    <row r="148" spans="27:37" ht="12">
      <c r="AA148" s="161"/>
      <c r="AB148" s="15"/>
      <c r="AC148" s="15" t="s">
        <v>22</v>
      </c>
      <c r="AD148" s="15"/>
      <c r="AE148" s="15"/>
      <c r="AF148" s="15"/>
      <c r="AG148" s="15" t="s">
        <v>8</v>
      </c>
      <c r="AH148" s="178">
        <f>T38</f>
        <v>0.45586227459258216</v>
      </c>
      <c r="AI148" s="162"/>
      <c r="AJ148" s="162"/>
      <c r="AK148" s="163"/>
    </row>
    <row r="149" spans="24:37" ht="12">
      <c r="X149" s="27"/>
      <c r="Y149" s="9"/>
      <c r="Z149" s="9">
        <f>Z156</f>
        <v>22.2</v>
      </c>
      <c r="AA149" s="161" t="s">
        <v>12</v>
      </c>
      <c r="AB149" s="15" t="s">
        <v>13</v>
      </c>
      <c r="AC149" s="175">
        <f>N38</f>
        <v>141</v>
      </c>
      <c r="AD149" s="15">
        <f>R38</f>
        <v>33.5</v>
      </c>
      <c r="AE149" s="226">
        <f>AD149/2+AD172</f>
        <v>12.675675675675675</v>
      </c>
      <c r="AF149" s="15"/>
      <c r="AG149" s="15" t="s">
        <v>14</v>
      </c>
      <c r="AH149" s="15" t="s">
        <v>15</v>
      </c>
      <c r="AI149" s="162" t="s">
        <v>16</v>
      </c>
      <c r="AJ149" s="162" t="s">
        <v>17</v>
      </c>
      <c r="AK149" s="163"/>
    </row>
    <row r="150" spans="24:37" ht="12">
      <c r="X150" s="27"/>
      <c r="Y150" s="9"/>
      <c r="Z150" s="9"/>
      <c r="AA150" s="161"/>
      <c r="AB150" s="15"/>
      <c r="AC150" s="172"/>
      <c r="AD150" s="173">
        <v>0</v>
      </c>
      <c r="AE150" s="15"/>
      <c r="AF150" s="15"/>
      <c r="AG150" s="174">
        <f>AC150-(AC158+AC157)/2</f>
        <v>-63.45</v>
      </c>
      <c r="AH150" s="174">
        <f>AD150-AE149</f>
        <v>-12.675675675675675</v>
      </c>
      <c r="AI150" s="174">
        <f>AH147*AG150+AH148*AH150</f>
        <v>-62.252055665322686</v>
      </c>
      <c r="AJ150" s="174">
        <f>AH147*AH150-AH148*AG150</f>
        <v>17.642472028502176</v>
      </c>
      <c r="AK150" s="163"/>
    </row>
    <row r="151" spans="24:37" ht="12">
      <c r="X151" s="27"/>
      <c r="Y151" s="9"/>
      <c r="Z151" s="9"/>
      <c r="AA151" s="161">
        <v>0</v>
      </c>
      <c r="AB151" s="132">
        <v>10</v>
      </c>
      <c r="AC151" s="173">
        <f>AC149*AA151/100</f>
        <v>0</v>
      </c>
      <c r="AD151" s="173">
        <f>AD149*AB151/100</f>
        <v>3.35</v>
      </c>
      <c r="AE151" s="15"/>
      <c r="AF151" s="15"/>
      <c r="AG151" s="174">
        <f>AC151-(AC158+AC157)/2</f>
        <v>-63.45</v>
      </c>
      <c r="AH151" s="174">
        <f>AD151-AE149</f>
        <v>-9.325675675675676</v>
      </c>
      <c r="AI151" s="174">
        <f>AH147*AG151+AH148*AH151</f>
        <v>-60.724917045437536</v>
      </c>
      <c r="AJ151" s="174">
        <f>AH147*AH151-AH148*AG151</f>
        <v>20.624140627735713</v>
      </c>
      <c r="AK151" s="163"/>
    </row>
    <row r="152" spans="24:37" ht="12">
      <c r="X152" s="27">
        <v>4</v>
      </c>
      <c r="Y152" s="8">
        <v>0.6666666666666666</v>
      </c>
      <c r="Z152" s="9">
        <f>X152+Y152</f>
        <v>4.666666666666667</v>
      </c>
      <c r="AA152" s="161">
        <v>2.5</v>
      </c>
      <c r="AB152" s="132">
        <v>41</v>
      </c>
      <c r="AC152" s="173">
        <f>AC149*AA152/100</f>
        <v>3.525</v>
      </c>
      <c r="AD152" s="173">
        <f>AD149*AB152/100*X152/Z152</f>
        <v>11.772857142857141</v>
      </c>
      <c r="AE152" s="175"/>
      <c r="AF152" s="175"/>
      <c r="AG152" s="174">
        <f>AC152-(AC158+AC157)/2</f>
        <v>-59.925000000000004</v>
      </c>
      <c r="AH152" s="174">
        <f>AD152-AE149</f>
        <v>-0.9028185328185341</v>
      </c>
      <c r="AI152" s="174">
        <f>AH147*AG152+AH148*AH152</f>
        <v>-53.74782682307013</v>
      </c>
      <c r="AJ152" s="174">
        <f>AH147*AH152-AH148*AG152</f>
        <v>26.513992873584037</v>
      </c>
      <c r="AK152" s="163"/>
    </row>
    <row r="153" spans="24:37" ht="12">
      <c r="X153" s="27">
        <v>10.5</v>
      </c>
      <c r="Y153" s="8">
        <v>1.7333333333333334</v>
      </c>
      <c r="Z153" s="9">
        <f aca="true" t="shared" si="29" ref="Z153:Z163">X153+Y153</f>
        <v>12.233333333333334</v>
      </c>
      <c r="AA153" s="161">
        <v>5</v>
      </c>
      <c r="AB153" s="132">
        <v>59</v>
      </c>
      <c r="AC153" s="173">
        <f>AC149*AA153/100</f>
        <v>7.05</v>
      </c>
      <c r="AD153" s="173">
        <f>AD149*AB153/100*X153/Z153</f>
        <v>16.96450953678474</v>
      </c>
      <c r="AE153" s="175"/>
      <c r="AF153" s="175"/>
      <c r="AG153" s="174">
        <f>AC153-(AC158+AC157)/2</f>
        <v>-56.400000000000006</v>
      </c>
      <c r="AH153" s="174">
        <f>AD153-AE149</f>
        <v>4.2888338611090635</v>
      </c>
      <c r="AI153" s="174">
        <f>AH147*AG153+AH148*AH153</f>
        <v>-48.24372094722408</v>
      </c>
      <c r="AJ153" s="174">
        <f>AH147*AH153-AH148*AG153</f>
        <v>29.527910272394298</v>
      </c>
      <c r="AK153" s="163"/>
    </row>
    <row r="154" spans="24:37" ht="12">
      <c r="X154" s="27">
        <v>14.4</v>
      </c>
      <c r="Y154" s="8">
        <v>2.2666666666666666</v>
      </c>
      <c r="Z154" s="9">
        <f t="shared" si="29"/>
        <v>16.666666666666668</v>
      </c>
      <c r="AA154" s="161">
        <v>10</v>
      </c>
      <c r="AB154" s="132">
        <v>79</v>
      </c>
      <c r="AC154" s="173">
        <f>AC149*AA154/100</f>
        <v>14.1</v>
      </c>
      <c r="AD154" s="173">
        <f>AD149*AB154/100*X154/Z154</f>
        <v>22.865759999999998</v>
      </c>
      <c r="AE154" s="175"/>
      <c r="AF154" s="175"/>
      <c r="AG154" s="174">
        <f>AC154-(AC158+AC157)/2</f>
        <v>-49.35</v>
      </c>
      <c r="AH154" s="174">
        <f>AD154-AE149</f>
        <v>10.190084324324323</v>
      </c>
      <c r="AI154" s="174">
        <f>AH147*AG154+AH148*AH154</f>
        <v>-39.27870867480988</v>
      </c>
      <c r="AJ154" s="174">
        <f>AH147*AH154-AH148*AG154</f>
        <v>31.56649114767519</v>
      </c>
      <c r="AK154" s="163"/>
    </row>
    <row r="155" spans="24:37" ht="12">
      <c r="X155" s="225">
        <v>16.9</v>
      </c>
      <c r="Y155" s="8">
        <v>2.5</v>
      </c>
      <c r="Z155" s="9">
        <f t="shared" si="29"/>
        <v>19.4</v>
      </c>
      <c r="AA155" s="161">
        <v>20</v>
      </c>
      <c r="AB155" s="132">
        <v>95</v>
      </c>
      <c r="AC155" s="173">
        <f>AC149*AA155/100</f>
        <v>28.2</v>
      </c>
      <c r="AD155" s="173">
        <f>AD149*AB155/100*X155/Z155</f>
        <v>27.723840206185567</v>
      </c>
      <c r="AE155" s="175"/>
      <c r="AF155" s="175"/>
      <c r="AG155" s="174">
        <f>AC155-(AC158+AC157)/2</f>
        <v>-35.25</v>
      </c>
      <c r="AH155" s="174">
        <f>AD155-AE149</f>
        <v>15.048164530509892</v>
      </c>
      <c r="AI155" s="174">
        <f>AH147*AG155+AH148*AH155</f>
        <v>-24.514383555240183</v>
      </c>
      <c r="AJ155" s="174">
        <f>AH147*AH155-AH148*AG155</f>
        <v>29.462768957514257</v>
      </c>
      <c r="AK155" s="163"/>
    </row>
    <row r="156" spans="24:37" ht="12">
      <c r="X156" s="27">
        <v>19.5</v>
      </c>
      <c r="Y156" s="8">
        <v>2.7</v>
      </c>
      <c r="Z156" s="9">
        <f t="shared" si="29"/>
        <v>22.2</v>
      </c>
      <c r="AA156" s="161">
        <v>30</v>
      </c>
      <c r="AB156" s="132">
        <v>100</v>
      </c>
      <c r="AC156" s="173">
        <f>AC149*AA156/100</f>
        <v>42.3</v>
      </c>
      <c r="AD156" s="173">
        <f>AD149*AB156/100*X156/Z156</f>
        <v>29.425675675675677</v>
      </c>
      <c r="AE156" s="175"/>
      <c r="AF156" s="175"/>
      <c r="AG156" s="174">
        <f>AC156-(AC158+AC157)/2</f>
        <v>-21.150000000000006</v>
      </c>
      <c r="AH156" s="174">
        <f>AD156-AE149</f>
        <v>16.75</v>
      </c>
      <c r="AI156" s="174">
        <f>AH147*AG156+AH148*AH156</f>
        <v>-11.188871340511358</v>
      </c>
      <c r="AJ156" s="174">
        <f>AH147*AH156-AH148*AG156</f>
        <v>24.549830103800797</v>
      </c>
      <c r="AK156" s="163"/>
    </row>
    <row r="157" spans="24:37" ht="12">
      <c r="X157" s="27">
        <v>19.3</v>
      </c>
      <c r="Y157" s="8">
        <v>2.6666666666666665</v>
      </c>
      <c r="Z157" s="9">
        <f t="shared" si="29"/>
        <v>21.96666666666667</v>
      </c>
      <c r="AA157" s="161">
        <v>40</v>
      </c>
      <c r="AB157" s="132">
        <v>99</v>
      </c>
      <c r="AC157" s="223">
        <f>AC149*AA157/100</f>
        <v>56.4</v>
      </c>
      <c r="AD157" s="173">
        <f>AD149*AB157/100*X157/Z157</f>
        <v>29.13889984825493</v>
      </c>
      <c r="AE157" s="175"/>
      <c r="AF157" s="175"/>
      <c r="AG157" s="174">
        <f>AC157-(AC158+AC157)/2</f>
        <v>-7.050000000000004</v>
      </c>
      <c r="AH157" s="174">
        <f>AD157-AE149</f>
        <v>16.463224172579253</v>
      </c>
      <c r="AI157" s="174">
        <f>AH147*AG157+AH148*AH157</f>
        <v>1.230108005127188</v>
      </c>
      <c r="AJ157" s="174">
        <f>AH147*AH157-AH148*AG157</f>
        <v>17.866927112749966</v>
      </c>
      <c r="AK157" s="163"/>
    </row>
    <row r="158" spans="24:37" ht="12">
      <c r="X158" s="27">
        <v>17.9</v>
      </c>
      <c r="Y158" s="8">
        <v>2.533333333333333</v>
      </c>
      <c r="Z158" s="9">
        <f t="shared" si="29"/>
        <v>20.43333333333333</v>
      </c>
      <c r="AA158" s="161">
        <v>50</v>
      </c>
      <c r="AB158" s="132">
        <v>95</v>
      </c>
      <c r="AC158" s="223">
        <f>AC149*AA158/100</f>
        <v>70.5</v>
      </c>
      <c r="AD158" s="173">
        <f>AD149*AB158/100*X158/Z158</f>
        <v>27.87932300163132</v>
      </c>
      <c r="AE158" s="175"/>
      <c r="AF158" s="175"/>
      <c r="AG158" s="174">
        <f>AC158-(AC158+AC157)/2</f>
        <v>7.049999999999997</v>
      </c>
      <c r="AH158" s="174">
        <f>AD158-AE149</f>
        <v>15.203647325955645</v>
      </c>
      <c r="AI158" s="174">
        <f>AH147*AG158+AH148*AH158</f>
        <v>13.205624065425935</v>
      </c>
      <c r="AJ158" s="174">
        <f>AH147*AH158-AH148*AG158</f>
        <v>10.318182255353005</v>
      </c>
      <c r="AK158" s="163"/>
    </row>
    <row r="159" spans="24:37" ht="12">
      <c r="X159" s="27">
        <v>16</v>
      </c>
      <c r="Y159" s="8">
        <v>2.2666666666666666</v>
      </c>
      <c r="Z159" s="9">
        <f t="shared" si="29"/>
        <v>18.266666666666666</v>
      </c>
      <c r="AA159" s="161">
        <v>60</v>
      </c>
      <c r="AB159" s="132">
        <v>87</v>
      </c>
      <c r="AC159" s="173">
        <f>AC149*AA159/100</f>
        <v>84.6</v>
      </c>
      <c r="AD159" s="173">
        <f>AD149*AB159/100*X159/Z159</f>
        <v>25.528467153284673</v>
      </c>
      <c r="AE159" s="175"/>
      <c r="AF159" s="175"/>
      <c r="AG159" s="174">
        <f>AC159-(AC158+AC157)/2</f>
        <v>21.14999999999999</v>
      </c>
      <c r="AH159" s="174">
        <f>AD159-AE149</f>
        <v>12.852791477608998</v>
      </c>
      <c r="AI159" s="174">
        <f>AH147*AG159+AH148*AH159</f>
        <v>24.68366719778409</v>
      </c>
      <c r="AJ159" s="174">
        <f>AH147*AH159-AH148*AG159</f>
        <v>1.7981441643917133</v>
      </c>
      <c r="AK159" s="163"/>
    </row>
    <row r="160" spans="24:37" ht="12">
      <c r="X160" s="27">
        <v>12.9</v>
      </c>
      <c r="Y160" s="8">
        <v>1.7333333333333334</v>
      </c>
      <c r="Z160" s="9">
        <f t="shared" si="29"/>
        <v>14.633333333333333</v>
      </c>
      <c r="AA160" s="161">
        <v>70</v>
      </c>
      <c r="AB160" s="132">
        <v>74</v>
      </c>
      <c r="AC160" s="173">
        <f>AC149*AA160/100</f>
        <v>98.7</v>
      </c>
      <c r="AD160" s="173">
        <f>AD149*AB160/100*X160/Z160</f>
        <v>21.85359908883827</v>
      </c>
      <c r="AE160" s="15"/>
      <c r="AF160" s="15"/>
      <c r="AG160" s="174">
        <f>AC160-(AC158+AC157)/2</f>
        <v>35.25</v>
      </c>
      <c r="AH160" s="174">
        <f>AD160-AE149</f>
        <v>9.177923413162594</v>
      </c>
      <c r="AI160" s="174">
        <f>AH147*AG160+AH148*AH160</f>
        <v>35.55814310972265</v>
      </c>
      <c r="AJ160" s="174">
        <f>AH147*AH160-AH148*AG160</f>
        <v>-7.900331433956524</v>
      </c>
      <c r="AK160" s="163"/>
    </row>
    <row r="161" spans="24:37" ht="12">
      <c r="X161" s="27">
        <v>9.8</v>
      </c>
      <c r="Y161" s="8">
        <v>1.1666666666666667</v>
      </c>
      <c r="Z161" s="9">
        <f t="shared" si="29"/>
        <v>10.966666666666667</v>
      </c>
      <c r="AA161" s="161">
        <v>80</v>
      </c>
      <c r="AB161" s="132">
        <v>56</v>
      </c>
      <c r="AC161" s="173">
        <f>AC149*AA161/100</f>
        <v>112.8</v>
      </c>
      <c r="AD161" s="173">
        <f>AD149*AB161/100*X161/Z161</f>
        <v>16.76425531914894</v>
      </c>
      <c r="AE161" s="15"/>
      <c r="AF161" s="175"/>
      <c r="AG161" s="174">
        <f>AC161-(AC158+AC157)/2</f>
        <v>49.349999999999994</v>
      </c>
      <c r="AH161" s="174">
        <f>AD161-AE149</f>
        <v>4.088579643473265</v>
      </c>
      <c r="AI161" s="174">
        <f>AH147*AG161+AH148*AH161</f>
        <v>45.787812909313224</v>
      </c>
      <c r="AJ161" s="174">
        <f>AH147*AH161-AH148*AG161</f>
        <v>-18.857761597887304</v>
      </c>
      <c r="AK161" s="163"/>
    </row>
    <row r="162" spans="24:37" ht="12">
      <c r="X162" s="27">
        <v>6</v>
      </c>
      <c r="Y162" s="8">
        <v>0.6666666666666666</v>
      </c>
      <c r="Z162" s="9">
        <f t="shared" si="29"/>
        <v>6.666666666666667</v>
      </c>
      <c r="AA162" s="161">
        <v>90</v>
      </c>
      <c r="AB162" s="132">
        <v>35</v>
      </c>
      <c r="AC162" s="173">
        <f>AC149*AA162/100</f>
        <v>126.9</v>
      </c>
      <c r="AD162" s="173">
        <f>AD149*AB162/100*X162/Z162</f>
        <v>10.552499999999998</v>
      </c>
      <c r="AE162" s="15"/>
      <c r="AF162" s="15"/>
      <c r="AG162" s="174">
        <f>AC162-(AC158+AC157)/2</f>
        <v>63.45</v>
      </c>
      <c r="AH162" s="174">
        <f>AD162-AE149</f>
        <v>-2.123175675675677</v>
      </c>
      <c r="AI162" s="174">
        <f>AH147*AG162+AH148*AH162</f>
        <v>55.50581762693815</v>
      </c>
      <c r="AJ162" s="174">
        <f>AH147*AH162-AH148*AG162</f>
        <v>-30.814194529710868</v>
      </c>
      <c r="AK162" s="163"/>
    </row>
    <row r="163" spans="24:37" ht="12">
      <c r="X163" s="27">
        <v>2.7</v>
      </c>
      <c r="Y163" s="8">
        <v>0.3333333333333333</v>
      </c>
      <c r="Z163" s="9">
        <f t="shared" si="29"/>
        <v>3.0333333333333337</v>
      </c>
      <c r="AA163" s="161">
        <v>100</v>
      </c>
      <c r="AB163" s="132">
        <v>7</v>
      </c>
      <c r="AC163" s="173">
        <f>AC149*AA163/100</f>
        <v>141</v>
      </c>
      <c r="AD163" s="173">
        <f>AD149*AB163/100*X163/Z163</f>
        <v>2.0873076923076925</v>
      </c>
      <c r="AE163" s="15"/>
      <c r="AF163" s="15"/>
      <c r="AG163" s="174">
        <f>AC163-(AC158+AC157)/2</f>
        <v>77.55</v>
      </c>
      <c r="AH163" s="174">
        <f>AD163-AE149</f>
        <v>-10.588367983367982</v>
      </c>
      <c r="AI163" s="174">
        <f>AH147*AG163+AH148*AH163</f>
        <v>64.19656543331463</v>
      </c>
      <c r="AJ163" s="174">
        <f>AH147*AH163-AH148*AG163</f>
        <v>-44.776299792606395</v>
      </c>
      <c r="AK163" s="163"/>
    </row>
    <row r="164" spans="27:37" ht="12">
      <c r="AA164" s="161">
        <v>100</v>
      </c>
      <c r="AB164" s="222">
        <v>0</v>
      </c>
      <c r="AC164" s="173">
        <f>AC149*AA164/100</f>
        <v>141</v>
      </c>
      <c r="AD164" s="173">
        <f>AD149*AB164/100</f>
        <v>0</v>
      </c>
      <c r="AE164" s="15"/>
      <c r="AF164" s="15"/>
      <c r="AG164" s="174">
        <f>AC164-(AC158+AC157)/2</f>
        <v>77.55</v>
      </c>
      <c r="AH164" s="174">
        <f>AD164-AE149</f>
        <v>-12.675675675675675</v>
      </c>
      <c r="AI164" s="174">
        <f>AH147*AG164+AH148*AH164</f>
        <v>63.24504060092465</v>
      </c>
      <c r="AJ164" s="174">
        <f>AH147*AH164-AH148*AG164</f>
        <v>-46.63410868905191</v>
      </c>
      <c r="AK164" s="163"/>
    </row>
    <row r="165" spans="27:37" ht="12">
      <c r="AA165" s="161">
        <v>100</v>
      </c>
      <c r="AB165" s="222"/>
      <c r="AC165" s="173">
        <f>AC149*AA165/100</f>
        <v>141</v>
      </c>
      <c r="AD165" s="173">
        <f>-AD163/X163*Y163</f>
        <v>-0.25769230769230766</v>
      </c>
      <c r="AE165" s="173"/>
      <c r="AF165" s="15"/>
      <c r="AG165" s="174">
        <f>AC165-(AC158+AC157)/2</f>
        <v>77.55</v>
      </c>
      <c r="AH165" s="174">
        <f>AD165-AE149</f>
        <v>-12.933367983367983</v>
      </c>
      <c r="AI165" s="174">
        <f>AH147*AG165+AH148*AH165</f>
        <v>63.12756839939503</v>
      </c>
      <c r="AJ165" s="174">
        <f>AH147*AH165-AH148*AG165</f>
        <v>-46.86346781206987</v>
      </c>
      <c r="AK165" s="163"/>
    </row>
    <row r="166" spans="27:37" ht="12">
      <c r="AA166" s="161">
        <v>90</v>
      </c>
      <c r="AB166" s="222"/>
      <c r="AC166" s="173">
        <f>AC149*AA166/100</f>
        <v>126.9</v>
      </c>
      <c r="AD166" s="173">
        <f>-AD162/X162*Y162</f>
        <v>-1.1724999999999999</v>
      </c>
      <c r="AE166" s="173"/>
      <c r="AF166" s="15"/>
      <c r="AG166" s="174">
        <f>AC166-(AC158+AC157)/2</f>
        <v>63.45</v>
      </c>
      <c r="AH166" s="174">
        <f>AD166-AE149</f>
        <v>-13.848175675675675</v>
      </c>
      <c r="AI166" s="174">
        <f>AH147*AG166+AH148*AH166</f>
        <v>50.16083245734013</v>
      </c>
      <c r="AJ166" s="174">
        <f>AH147*AH166-AH148*AG166</f>
        <v>-41.25003462702824</v>
      </c>
      <c r="AK166" s="163"/>
    </row>
    <row r="167" spans="27:37" ht="12">
      <c r="AA167" s="161">
        <v>80</v>
      </c>
      <c r="AB167" s="222"/>
      <c r="AC167" s="173">
        <f>AC149*AA167/100</f>
        <v>112.8</v>
      </c>
      <c r="AD167" s="173">
        <f>-AD161/X161*Y161</f>
        <v>-1.9957446808510642</v>
      </c>
      <c r="AE167" s="173"/>
      <c r="AF167" s="15"/>
      <c r="AG167" s="174">
        <f>AC167-(AC158+AC157)/2</f>
        <v>49.349999999999994</v>
      </c>
      <c r="AH167" s="174">
        <f>AD167-AE149</f>
        <v>-14.67142035652674</v>
      </c>
      <c r="AI167" s="174">
        <f>AH147*AG167+AH148*AH167</f>
        <v>37.23583663795638</v>
      </c>
      <c r="AJ167" s="174">
        <f>AH147*AH167-AH148*AG167</f>
        <v>-35.555105753595114</v>
      </c>
      <c r="AK167" s="163"/>
    </row>
    <row r="168" spans="27:37" ht="12">
      <c r="AA168" s="161">
        <v>70</v>
      </c>
      <c r="AB168" s="222"/>
      <c r="AC168" s="173">
        <f>AC149*AA168/100</f>
        <v>98.7</v>
      </c>
      <c r="AD168" s="173">
        <f>-AD160/X160*Y160</f>
        <v>-2.9364009111617313</v>
      </c>
      <c r="AE168" s="173"/>
      <c r="AF168" s="15"/>
      <c r="AG168" s="174">
        <f>AC168-(AC158+AC157)/2</f>
        <v>35.25</v>
      </c>
      <c r="AH168" s="174">
        <f>AD168-AE149</f>
        <v>-15.612076586837407</v>
      </c>
      <c r="AI168" s="174">
        <f>AH147*AG168+AH148*AH168</f>
        <v>24.25731732257254</v>
      </c>
      <c r="AJ168" s="174">
        <f>AH147*AH168-AH148*AG168</f>
        <v>-29.964679068284696</v>
      </c>
      <c r="AK168" s="163"/>
    </row>
    <row r="169" spans="27:37" ht="12">
      <c r="AA169" s="161">
        <v>60</v>
      </c>
      <c r="AB169" s="222"/>
      <c r="AC169" s="173">
        <f>AC149*AA169/100</f>
        <v>84.6</v>
      </c>
      <c r="AD169" s="173">
        <f>-AD159/X159*Y159</f>
        <v>-3.6165328467153284</v>
      </c>
      <c r="AE169" s="173"/>
      <c r="AF169" s="15"/>
      <c r="AG169" s="174">
        <f>AC169-(AC158+AC157)/2</f>
        <v>21.14999999999999</v>
      </c>
      <c r="AH169" s="174">
        <f>AD169-AE149</f>
        <v>-16.292208522391004</v>
      </c>
      <c r="AI169" s="174">
        <f>AH147*AG169+AH148*AH169</f>
        <v>11.39756120478328</v>
      </c>
      <c r="AJ169" s="174">
        <f>AH147*AH169-AH148*AG169</f>
        <v>-24.142372648940054</v>
      </c>
      <c r="AK169" s="163"/>
    </row>
    <row r="170" spans="27:37" ht="12">
      <c r="AA170" s="161">
        <v>50</v>
      </c>
      <c r="AB170" s="222"/>
      <c r="AC170" s="173">
        <f>AC149*AA170/100</f>
        <v>70.5</v>
      </c>
      <c r="AD170" s="173">
        <f>-AD158/X158*Y158</f>
        <v>-3.9456769983686786</v>
      </c>
      <c r="AE170" s="173"/>
      <c r="AF170" s="15"/>
      <c r="AG170" s="174">
        <f>AC170-(AC158+AC157)/2</f>
        <v>7.049999999999997</v>
      </c>
      <c r="AH170" s="174">
        <f>AD170-AE149</f>
        <v>-16.621352674044353</v>
      </c>
      <c r="AI170" s="174">
        <f>AH147*AG170+AH148*AH170</f>
        <v>-1.302192823482991</v>
      </c>
      <c r="AJ170" s="174">
        <f>AH147*AH170-AH148*AG170</f>
        <v>-18.00766943736559</v>
      </c>
      <c r="AK170" s="163"/>
    </row>
    <row r="171" spans="27:37" ht="12">
      <c r="AA171" s="161">
        <v>40</v>
      </c>
      <c r="AB171" s="222"/>
      <c r="AC171" s="173">
        <f>AC149*AA171/100</f>
        <v>56.4</v>
      </c>
      <c r="AD171" s="173">
        <f>-AD157/X157*Y157</f>
        <v>-4.026100151745068</v>
      </c>
      <c r="AE171" s="173"/>
      <c r="AF171" s="15"/>
      <c r="AG171" s="174">
        <f>AC171-(AC158+AC157)/2</f>
        <v>-7.050000000000004</v>
      </c>
      <c r="AH171" s="174">
        <f>AD171-AE149</f>
        <v>-16.701775827420743</v>
      </c>
      <c r="AI171" s="174">
        <f>AH147*AG171+AH148*AH171</f>
        <v>-13.888564331735797</v>
      </c>
      <c r="AJ171" s="174">
        <f>AH147*AH171-AH148*AG171</f>
        <v>-11.651592019662038</v>
      </c>
      <c r="AK171" s="163"/>
    </row>
    <row r="172" spans="27:37" ht="12">
      <c r="AA172" s="161">
        <v>30</v>
      </c>
      <c r="AB172" s="222"/>
      <c r="AC172" s="173">
        <f>AC149*AA172/100</f>
        <v>42.3</v>
      </c>
      <c r="AD172" s="173">
        <f>-AD156/X156*Y156</f>
        <v>-4.074324324324325</v>
      </c>
      <c r="AE172" s="173"/>
      <c r="AF172" s="15"/>
      <c r="AG172" s="174">
        <f>AC172-(AC158+AC157)/2</f>
        <v>-21.150000000000006</v>
      </c>
      <c r="AH172" s="174">
        <f>AD172-AE149</f>
        <v>-16.75</v>
      </c>
      <c r="AI172" s="174">
        <f>AH147*AG172+AH148*AH172</f>
        <v>-26.46025753936286</v>
      </c>
      <c r="AJ172" s="174">
        <f>AH147*AH172-AH148*AG172</f>
        <v>-5.266855888534568</v>
      </c>
      <c r="AK172" s="163"/>
    </row>
    <row r="173" spans="27:37" ht="12">
      <c r="AA173" s="161">
        <v>20</v>
      </c>
      <c r="AB173" s="222"/>
      <c r="AC173" s="173">
        <f>AC149*AA173/100</f>
        <v>28.2</v>
      </c>
      <c r="AD173" s="173">
        <f>-AD155/X155*Y155</f>
        <v>-4.101159793814434</v>
      </c>
      <c r="AE173" s="173"/>
      <c r="AF173" s="15"/>
      <c r="AG173" s="174">
        <f>AC173-(AC158+AC157)/2</f>
        <v>-35.25</v>
      </c>
      <c r="AH173" s="174">
        <f>AD173-AE149</f>
        <v>-16.77683546949011</v>
      </c>
      <c r="AI173" s="174">
        <f>AH147*AG173+AH148*AH173</f>
        <v>-39.022200444149114</v>
      </c>
      <c r="AJ173" s="174">
        <f>AH147*AH173-AH148*AG173</f>
        <v>1.1369172647956596</v>
      </c>
      <c r="AK173" s="163"/>
    </row>
    <row r="174" spans="27:37" ht="12">
      <c r="AA174" s="161">
        <v>10</v>
      </c>
      <c r="AB174" s="222"/>
      <c r="AC174" s="173">
        <f>AC149*AA174/100</f>
        <v>14.1</v>
      </c>
      <c r="AD174" s="173">
        <f>-AD154/X154*Y154</f>
        <v>-3.5992399999999996</v>
      </c>
      <c r="AE174" s="173"/>
      <c r="AF174" s="15"/>
      <c r="AG174" s="174">
        <f>AC174-(AC158+AC157)/2</f>
        <v>-49.35</v>
      </c>
      <c r="AH174" s="174">
        <f>AD174-AE149</f>
        <v>-16.274915675675675</v>
      </c>
      <c r="AI174" s="174">
        <f>AH147*AG174+AH148*AH174</f>
        <v>-51.34310377190256</v>
      </c>
      <c r="AJ174" s="174">
        <f>AH147*AH174-AH148*AG174</f>
        <v>8.011309213730254</v>
      </c>
      <c r="AK174" s="163"/>
    </row>
    <row r="175" spans="27:37" ht="12">
      <c r="AA175" s="161">
        <v>5</v>
      </c>
      <c r="AB175" s="222"/>
      <c r="AC175" s="173">
        <f>AC149*AA175/100</f>
        <v>7.05</v>
      </c>
      <c r="AD175" s="173">
        <f>-AD153/X153*Y153</f>
        <v>-2.8004904632152585</v>
      </c>
      <c r="AE175" s="173"/>
      <c r="AF175" s="15"/>
      <c r="AG175" s="174">
        <f>AC175-(AC158+AC157)/2</f>
        <v>-56.400000000000006</v>
      </c>
      <c r="AH175" s="174">
        <f>AD175-AE149</f>
        <v>-15.476166138890934</v>
      </c>
      <c r="AI175" s="174">
        <f>AH147*AG175+AH148*AH175</f>
        <v>-57.25383880454646</v>
      </c>
      <c r="AJ175" s="174">
        <f>AH147*AH175-AH148*AG175</f>
        <v>11.936065536916436</v>
      </c>
      <c r="AK175" s="163"/>
    </row>
    <row r="176" spans="27:37" ht="12">
      <c r="AA176" s="161">
        <v>2.5</v>
      </c>
      <c r="AB176" s="15"/>
      <c r="AC176" s="173">
        <f>AC149*AA176/100</f>
        <v>3.525</v>
      </c>
      <c r="AD176" s="172">
        <f>-AD152/X152*Y152</f>
        <v>-1.9621428571428567</v>
      </c>
      <c r="AE176" s="15"/>
      <c r="AF176" s="15"/>
      <c r="AG176" s="174">
        <f>AC176-(AC158+AC157)/2</f>
        <v>-59.925000000000004</v>
      </c>
      <c r="AH176" s="174">
        <f>AD176-AE149</f>
        <v>-14.637818532818532</v>
      </c>
      <c r="AI176" s="174">
        <f>AH147*AG176+AH148*AH176</f>
        <v>-60.009095164599245</v>
      </c>
      <c r="AJ176" s="174">
        <f>AH147*AH176-AH148*AG176</f>
        <v>14.28915161672654</v>
      </c>
      <c r="AK176" s="163"/>
    </row>
    <row r="177" spans="27:37" ht="12">
      <c r="AA177" s="161">
        <v>0</v>
      </c>
      <c r="AB177" s="15"/>
      <c r="AC177" s="173">
        <f>AC149*AA177/100</f>
        <v>0</v>
      </c>
      <c r="AD177" s="172">
        <f>-AD151/3</f>
        <v>-1.1166666666666667</v>
      </c>
      <c r="AE177" s="15"/>
      <c r="AF177" s="15"/>
      <c r="AG177" s="174">
        <f>AC177-(AC158+AC157)/2</f>
        <v>-63.45</v>
      </c>
      <c r="AH177" s="174">
        <f>AD177-AE149</f>
        <v>-13.792342342342343</v>
      </c>
      <c r="AI177" s="174">
        <f>AH147*AG177+AH148*AH177</f>
        <v>-62.76110187195107</v>
      </c>
      <c r="AJ177" s="174">
        <f>AH147*AH177-AH148*AG177</f>
        <v>16.64858249542433</v>
      </c>
      <c r="AK177" s="163"/>
    </row>
    <row r="178" spans="27:37" ht="12">
      <c r="AA178" s="161"/>
      <c r="AB178" s="15"/>
      <c r="AC178" s="173"/>
      <c r="AD178" s="172"/>
      <c r="AE178" s="15"/>
      <c r="AF178" s="15"/>
      <c r="AG178" s="174"/>
      <c r="AH178" s="174"/>
      <c r="AI178" s="174">
        <f>AI150</f>
        <v>-62.252055665322686</v>
      </c>
      <c r="AJ178" s="174">
        <f>AJ150</f>
        <v>17.642472028502176</v>
      </c>
      <c r="AK178" s="163"/>
    </row>
    <row r="179" spans="27:37" ht="12">
      <c r="AA179" s="161"/>
      <c r="AB179" s="15"/>
      <c r="AC179" s="15"/>
      <c r="AD179" s="15"/>
      <c r="AE179" s="15"/>
      <c r="AF179" s="15"/>
      <c r="AG179" s="15"/>
      <c r="AH179" s="15"/>
      <c r="AI179" s="162"/>
      <c r="AJ179" s="162"/>
      <c r="AK179" s="163"/>
    </row>
    <row r="180" spans="27:37" ht="12">
      <c r="AA180" s="161"/>
      <c r="AB180" s="15"/>
      <c r="AC180" s="15"/>
      <c r="AD180" s="15"/>
      <c r="AE180" s="15"/>
      <c r="AF180" s="15"/>
      <c r="AG180" s="15"/>
      <c r="AH180" s="15"/>
      <c r="AI180" s="162"/>
      <c r="AJ180" s="162"/>
      <c r="AK180" s="163"/>
    </row>
    <row r="181" spans="27:37" ht="12">
      <c r="AA181" s="161"/>
      <c r="AB181" s="15"/>
      <c r="AC181" s="15"/>
      <c r="AD181" s="15"/>
      <c r="AE181" s="15"/>
      <c r="AF181" s="15"/>
      <c r="AG181" s="15"/>
      <c r="AH181" s="15"/>
      <c r="AI181" s="162"/>
      <c r="AJ181" s="162"/>
      <c r="AK181" s="163"/>
    </row>
    <row r="182" spans="27:37" ht="12">
      <c r="AA182" s="161"/>
      <c r="AB182" s="15"/>
      <c r="AC182" s="15"/>
      <c r="AD182" s="15"/>
      <c r="AE182" s="15"/>
      <c r="AF182" s="15"/>
      <c r="AG182" s="15"/>
      <c r="AH182" s="15"/>
      <c r="AI182" s="162"/>
      <c r="AJ182" s="162"/>
      <c r="AK182" s="163"/>
    </row>
    <row r="183" spans="27:37" ht="12">
      <c r="AA183" s="161"/>
      <c r="AB183" s="15"/>
      <c r="AC183" s="15"/>
      <c r="AD183" s="15"/>
      <c r="AE183" s="15"/>
      <c r="AF183" s="15"/>
      <c r="AG183" s="15"/>
      <c r="AH183" s="15"/>
      <c r="AI183" s="162"/>
      <c r="AJ183" s="162"/>
      <c r="AK183" s="163"/>
    </row>
    <row r="184" spans="27:37" ht="12">
      <c r="AA184" s="161"/>
      <c r="AB184" s="15"/>
      <c r="AC184" s="15"/>
      <c r="AD184" s="15"/>
      <c r="AE184" s="15"/>
      <c r="AF184" s="15"/>
      <c r="AG184" s="15"/>
      <c r="AH184" s="15"/>
      <c r="AI184" s="162"/>
      <c r="AJ184" s="162"/>
      <c r="AK184" s="163"/>
    </row>
    <row r="185" spans="27:37" ht="12">
      <c r="AA185" s="161"/>
      <c r="AB185" s="15"/>
      <c r="AC185" s="15"/>
      <c r="AD185" s="15"/>
      <c r="AE185" s="15"/>
      <c r="AF185" s="15"/>
      <c r="AG185" s="15"/>
      <c r="AH185" s="15"/>
      <c r="AI185" s="162"/>
      <c r="AJ185" s="162"/>
      <c r="AK185" s="163"/>
    </row>
    <row r="186" spans="27:37" ht="12">
      <c r="AA186" s="161"/>
      <c r="AB186" s="15"/>
      <c r="AC186" s="15"/>
      <c r="AD186" s="15"/>
      <c r="AE186" s="15"/>
      <c r="AF186" s="15"/>
      <c r="AG186" s="15"/>
      <c r="AH186" s="15"/>
      <c r="AI186" s="162"/>
      <c r="AJ186" s="162"/>
      <c r="AK186" s="163"/>
    </row>
    <row r="187" spans="27:37" ht="12">
      <c r="AA187" s="161"/>
      <c r="AB187" s="15"/>
      <c r="AC187" s="15"/>
      <c r="AD187" s="15"/>
      <c r="AE187" s="15"/>
      <c r="AF187" s="15"/>
      <c r="AG187" s="15"/>
      <c r="AH187" s="15"/>
      <c r="AI187" s="162"/>
      <c r="AJ187" s="162"/>
      <c r="AK187" s="163"/>
    </row>
    <row r="188" spans="27:37" ht="12">
      <c r="AA188" s="161"/>
      <c r="AB188" s="15"/>
      <c r="AC188" s="15"/>
      <c r="AD188" s="15"/>
      <c r="AE188" s="15"/>
      <c r="AF188" s="15"/>
      <c r="AG188" s="15"/>
      <c r="AH188" s="15"/>
      <c r="AI188" s="162"/>
      <c r="AJ188" s="162"/>
      <c r="AK188" s="163"/>
    </row>
    <row r="189" spans="27:37" ht="12">
      <c r="AA189" s="161"/>
      <c r="AB189" s="15"/>
      <c r="AC189" s="15"/>
      <c r="AD189" s="15"/>
      <c r="AE189" s="51" t="s">
        <v>0</v>
      </c>
      <c r="AF189" s="164">
        <f>Q39</f>
        <v>280</v>
      </c>
      <c r="AG189" s="15"/>
      <c r="AH189" s="15"/>
      <c r="AI189" s="162"/>
      <c r="AJ189" s="162"/>
      <c r="AK189" s="163"/>
    </row>
    <row r="190" spans="27:37" ht="12">
      <c r="AA190" s="161"/>
      <c r="AB190" s="15" t="s">
        <v>10</v>
      </c>
      <c r="AC190" s="15" t="s">
        <v>20</v>
      </c>
      <c r="AD190" s="15"/>
      <c r="AE190" s="15" t="s">
        <v>11</v>
      </c>
      <c r="AF190" s="176">
        <f>F39</f>
        <v>23.32327581366178</v>
      </c>
      <c r="AG190" s="15" t="s">
        <v>4</v>
      </c>
      <c r="AH190" s="177">
        <f>L39</f>
        <v>0.9182974897286666</v>
      </c>
      <c r="AI190" s="162"/>
      <c r="AJ190" s="162"/>
      <c r="AK190" s="163"/>
    </row>
    <row r="191" spans="27:37" ht="12">
      <c r="AA191" s="161"/>
      <c r="AB191" s="15"/>
      <c r="AC191" s="15" t="s">
        <v>22</v>
      </c>
      <c r="AD191" s="15"/>
      <c r="AE191" s="15"/>
      <c r="AF191" s="15"/>
      <c r="AG191" s="15" t="s">
        <v>8</v>
      </c>
      <c r="AH191" s="178">
        <f>T39</f>
        <v>0.3958910460695334</v>
      </c>
      <c r="AI191" s="162"/>
      <c r="AJ191" s="162"/>
      <c r="AK191" s="163"/>
    </row>
    <row r="192" spans="27:37" ht="12">
      <c r="AA192" s="161" t="s">
        <v>12</v>
      </c>
      <c r="AB192" s="15" t="s">
        <v>13</v>
      </c>
      <c r="AC192" s="175">
        <f>N39</f>
        <v>144</v>
      </c>
      <c r="AD192" s="15">
        <f>R39</f>
        <v>30.6</v>
      </c>
      <c r="AE192" s="15"/>
      <c r="AF192" s="15"/>
      <c r="AG192" s="15" t="s">
        <v>14</v>
      </c>
      <c r="AH192" s="15" t="s">
        <v>15</v>
      </c>
      <c r="AI192" s="162" t="s">
        <v>16</v>
      </c>
      <c r="AJ192" s="162" t="s">
        <v>17</v>
      </c>
      <c r="AK192" s="163"/>
    </row>
    <row r="193" spans="27:37" ht="12">
      <c r="AA193" s="161"/>
      <c r="AB193" s="15"/>
      <c r="AC193" s="15"/>
      <c r="AD193" s="15">
        <v>0</v>
      </c>
      <c r="AE193" s="15"/>
      <c r="AF193" s="15"/>
      <c r="AG193" s="15">
        <f>AC193-(AC201+AC200)/2</f>
        <v>-64.8</v>
      </c>
      <c r="AH193" s="15">
        <f>AD193-AH199</f>
        <v>-15.3</v>
      </c>
      <c r="AI193" s="162">
        <f>AH190*AG193+AH191*AH193</f>
        <v>-65.56281033928146</v>
      </c>
      <c r="AJ193" s="162">
        <f>AH190*AH193-AH191*AG193</f>
        <v>11.603788192457163</v>
      </c>
      <c r="AK193" s="163"/>
    </row>
    <row r="194" spans="27:37" ht="12">
      <c r="AA194" s="161">
        <v>0</v>
      </c>
      <c r="AB194" s="15">
        <v>10</v>
      </c>
      <c r="AC194" s="15">
        <f>AC192*AA194/100</f>
        <v>0</v>
      </c>
      <c r="AD194" s="15">
        <f>AD192*AB194/100</f>
        <v>3.06</v>
      </c>
      <c r="AE194" s="15"/>
      <c r="AF194" s="15"/>
      <c r="AG194" s="15">
        <f>AC194-(AC201+AC200)/2</f>
        <v>-64.8</v>
      </c>
      <c r="AH194" s="15">
        <f>AD194-AH199</f>
        <v>-12.24</v>
      </c>
      <c r="AI194" s="162">
        <f>AH190*AG194+AH191*AH194</f>
        <v>-64.35138373830868</v>
      </c>
      <c r="AJ194" s="162">
        <f>AH190*AH194-AH191*AG194</f>
        <v>14.413778511026884</v>
      </c>
      <c r="AK194" s="163"/>
    </row>
    <row r="195" spans="27:37" ht="12">
      <c r="AA195" s="161">
        <v>2.5</v>
      </c>
      <c r="AB195" s="15">
        <v>41</v>
      </c>
      <c r="AC195" s="15">
        <f>AC192*AA195/100</f>
        <v>3.6</v>
      </c>
      <c r="AD195" s="15">
        <f>AD192*AB195/100</f>
        <v>12.546000000000001</v>
      </c>
      <c r="AE195" s="15"/>
      <c r="AF195" s="15"/>
      <c r="AG195" s="15">
        <f>AC195-(AC201+AC200)/2</f>
        <v>-61.199999999999996</v>
      </c>
      <c r="AH195" s="15">
        <f>AD195-AH199</f>
        <v>-2.7539999999999996</v>
      </c>
      <c r="AI195" s="162">
        <f>AH190*AG195+AH191*AH195</f>
        <v>-57.29009031226989</v>
      </c>
      <c r="AJ195" s="162">
        <f>AH190*AH195-AH191*AG195</f>
        <v>21.699540732742694</v>
      </c>
      <c r="AK195" s="163"/>
    </row>
    <row r="196" spans="27:37" ht="12">
      <c r="AA196" s="161">
        <v>5</v>
      </c>
      <c r="AB196" s="15">
        <v>59</v>
      </c>
      <c r="AC196" s="15">
        <f>AC192*AA196/100</f>
        <v>7.2</v>
      </c>
      <c r="AD196" s="15">
        <f>AD192*AB196/100</f>
        <v>18.054000000000002</v>
      </c>
      <c r="AE196" s="15"/>
      <c r="AF196" s="15"/>
      <c r="AG196" s="15">
        <f>AC196-(AC201+AC200)/2</f>
        <v>-57.599999999999994</v>
      </c>
      <c r="AH196" s="15">
        <f>AD196-AH199</f>
        <v>2.7540000000000013</v>
      </c>
      <c r="AI196" s="162">
        <f>AH190*AG196+AH191*AH196</f>
        <v>-51.8036514674957</v>
      </c>
      <c r="AJ196" s="162">
        <f>AH190*AH196-AH191*AG196</f>
        <v>25.33231554031787</v>
      </c>
      <c r="AK196" s="163"/>
    </row>
    <row r="197" spans="27:37" ht="12">
      <c r="AA197" s="161">
        <v>10</v>
      </c>
      <c r="AB197" s="15">
        <v>79</v>
      </c>
      <c r="AC197" s="15">
        <f>AC192*AA197/100</f>
        <v>14.4</v>
      </c>
      <c r="AD197" s="15">
        <f>AD192*AB197/100</f>
        <v>24.174</v>
      </c>
      <c r="AE197" s="15"/>
      <c r="AF197" s="15"/>
      <c r="AG197" s="15">
        <f>AC197-(AC201+AC200)/2</f>
        <v>-50.4</v>
      </c>
      <c r="AH197" s="15">
        <f>AD197-AH199</f>
        <v>8.873999999999999</v>
      </c>
      <c r="AI197" s="162">
        <f>AH190*AG197+AH191*AH197</f>
        <v>-42.76905633950376</v>
      </c>
      <c r="AJ197" s="162">
        <f>AH190*AH197-AH191*AG197</f>
        <v>28.10188064575667</v>
      </c>
      <c r="AK197" s="163"/>
    </row>
    <row r="198" spans="27:37" ht="12">
      <c r="AA198" s="161">
        <v>20</v>
      </c>
      <c r="AB198" s="15">
        <v>95</v>
      </c>
      <c r="AC198" s="15">
        <f>AC192*AA198/100</f>
        <v>28.8</v>
      </c>
      <c r="AD198" s="15">
        <f>AD192*AB198/100</f>
        <v>29.07</v>
      </c>
      <c r="AE198" s="15"/>
      <c r="AF198" s="15"/>
      <c r="AG198" s="15">
        <f>AC198-(AC201+AC200)/2</f>
        <v>-36</v>
      </c>
      <c r="AH198" s="15">
        <f>AD198-AH199</f>
        <v>13.77</v>
      </c>
      <c r="AI198" s="162">
        <f>AH190*AG198+AH191*AH198</f>
        <v>-27.607289925854527</v>
      </c>
      <c r="AJ198" s="162">
        <f>AH190*AH198-AH191*AG198</f>
        <v>26.897034092066942</v>
      </c>
      <c r="AK198" s="163"/>
    </row>
    <row r="199" spans="27:37" ht="12">
      <c r="AA199" s="161">
        <v>30</v>
      </c>
      <c r="AB199" s="15">
        <v>100</v>
      </c>
      <c r="AC199" s="15">
        <f>AC192*AA199/100</f>
        <v>43.2</v>
      </c>
      <c r="AD199" s="15">
        <f>AD192*AB199/100</f>
        <v>30.6</v>
      </c>
      <c r="AE199" s="15"/>
      <c r="AF199" s="15"/>
      <c r="AG199" s="15">
        <f>AC199-(AC201+AC200)/2</f>
        <v>-21.599999999999994</v>
      </c>
      <c r="AH199" s="15">
        <f>AD199/2</f>
        <v>15.3</v>
      </c>
      <c r="AI199" s="162">
        <f>AH190*AG199+AH191*AH199</f>
        <v>-13.778092773275333</v>
      </c>
      <c r="AJ199" s="162">
        <f>AH190*AH199-AH191*AG199</f>
        <v>22.60119818795052</v>
      </c>
      <c r="AK199" s="163"/>
    </row>
    <row r="200" spans="27:37" ht="12">
      <c r="AA200" s="161">
        <v>40</v>
      </c>
      <c r="AB200" s="15">
        <v>99</v>
      </c>
      <c r="AC200" s="15">
        <f>AC192*AA200/100</f>
        <v>57.6</v>
      </c>
      <c r="AD200" s="15">
        <f>AD192*AB200/100</f>
        <v>30.294</v>
      </c>
      <c r="AE200" s="15"/>
      <c r="AF200" s="15"/>
      <c r="AG200" s="15">
        <f>AC200-(AC201+AC200)/2</f>
        <v>-7.199999999999996</v>
      </c>
      <c r="AH200" s="15">
        <f>AD200-AH199</f>
        <v>14.994</v>
      </c>
      <c r="AI200" s="162">
        <f>AH190*AG200+AH191*AH200</f>
        <v>-0.6757515812798127</v>
      </c>
      <c r="AJ200" s="162">
        <f>AH190*AH200-AH191*AG200</f>
        <v>16.619368092692266</v>
      </c>
      <c r="AK200" s="163"/>
    </row>
    <row r="201" spans="27:37" ht="12">
      <c r="AA201" s="161">
        <v>50</v>
      </c>
      <c r="AB201" s="15">
        <v>95</v>
      </c>
      <c r="AC201" s="15">
        <f>AC192*AA201/100</f>
        <v>72</v>
      </c>
      <c r="AD201" s="15">
        <f>AD192*AB201/100</f>
        <v>29.07</v>
      </c>
      <c r="AE201" s="15"/>
      <c r="AF201" s="15"/>
      <c r="AG201" s="15">
        <f>AC201-(AC201+AC200)/2</f>
        <v>7.200000000000003</v>
      </c>
      <c r="AH201" s="15">
        <f>AD201-AH199</f>
        <v>13.77</v>
      </c>
      <c r="AI201" s="162">
        <f>AH190*AG201+AH191*AH201</f>
        <v>12.063161630423878</v>
      </c>
      <c r="AJ201" s="162">
        <f>AH190*AH201-AH191*AG201</f>
        <v>9.794540901863098</v>
      </c>
      <c r="AK201" s="163"/>
    </row>
    <row r="202" spans="27:37" ht="12">
      <c r="AA202" s="161">
        <v>60</v>
      </c>
      <c r="AB202" s="15">
        <v>87</v>
      </c>
      <c r="AC202" s="15">
        <f>AC192*AA202/100</f>
        <v>86.4</v>
      </c>
      <c r="AD202" s="15">
        <f>AD192*AB202/100</f>
        <v>26.622000000000003</v>
      </c>
      <c r="AE202" s="15"/>
      <c r="AF202" s="15"/>
      <c r="AG202" s="15">
        <f>AC202-(AC201+AC200)/2</f>
        <v>21.60000000000001</v>
      </c>
      <c r="AH202" s="15">
        <f>AD202-AH199</f>
        <v>11.322000000000003</v>
      </c>
      <c r="AI202" s="162">
        <f>AH190*AG202+AH191*AH202</f>
        <v>24.317504201738465</v>
      </c>
      <c r="AJ202" s="162">
        <f>AH190*AH202-AH191*AG202</f>
        <v>1.8457175836060422</v>
      </c>
      <c r="AK202" s="163"/>
    </row>
    <row r="203" spans="27:37" ht="12">
      <c r="AA203" s="161">
        <v>70</v>
      </c>
      <c r="AB203" s="15">
        <v>74</v>
      </c>
      <c r="AC203" s="15">
        <f>AC192*AA203/100</f>
        <v>100.8</v>
      </c>
      <c r="AD203" s="15">
        <f>AD192*AB203/100</f>
        <v>22.644000000000002</v>
      </c>
      <c r="AE203" s="15"/>
      <c r="AF203" s="15"/>
      <c r="AG203" s="15">
        <f>AC203-(AC201+AC200)/2</f>
        <v>36</v>
      </c>
      <c r="AH203" s="15">
        <f>AD203-AH199</f>
        <v>7.344000000000001</v>
      </c>
      <c r="AI203" s="162">
        <f>AH190*AG203+AH191*AH203</f>
        <v>35.96613347256665</v>
      </c>
      <c r="AJ203" s="162">
        <f>AH190*AH203-AH191*AG203</f>
        <v>-7.5081008939358735</v>
      </c>
      <c r="AK203" s="163"/>
    </row>
    <row r="204" spans="27:37" ht="12">
      <c r="AA204" s="161">
        <v>80</v>
      </c>
      <c r="AB204" s="15">
        <v>56</v>
      </c>
      <c r="AC204" s="15">
        <f>AC192*AA204/100</f>
        <v>115.2</v>
      </c>
      <c r="AD204" s="15">
        <f>AD192*AB204/100</f>
        <v>17.136000000000003</v>
      </c>
      <c r="AE204" s="15"/>
      <c r="AF204" s="15"/>
      <c r="AG204" s="15">
        <f>AC204-(AC201+AC200)/2</f>
        <v>50.400000000000006</v>
      </c>
      <c r="AH204" s="15">
        <f>AD204-AH199</f>
        <v>1.836000000000002</v>
      </c>
      <c r="AI204" s="162">
        <f>AH190*AG204+AH191*AH204</f>
        <v>47.00904944290847</v>
      </c>
      <c r="AJ204" s="162">
        <f>AH190*AH204-AH191*AG204</f>
        <v>-18.26691453076265</v>
      </c>
      <c r="AK204" s="163"/>
    </row>
    <row r="205" spans="27:37" ht="12">
      <c r="AA205" s="161">
        <v>90</v>
      </c>
      <c r="AB205" s="15">
        <v>35</v>
      </c>
      <c r="AC205" s="15">
        <f>AC192*AA205/100</f>
        <v>129.6</v>
      </c>
      <c r="AD205" s="15">
        <f>AD192*AB205/100</f>
        <v>10.71</v>
      </c>
      <c r="AE205" s="15"/>
      <c r="AF205" s="15"/>
      <c r="AG205" s="15">
        <f>AC205-(AC201+AC200)/2</f>
        <v>64.8</v>
      </c>
      <c r="AH205" s="15">
        <f>AD205-AH199</f>
        <v>-4.59</v>
      </c>
      <c r="AI205" s="162">
        <f>AH190*AG205+AH191*AH205</f>
        <v>57.68853743295844</v>
      </c>
      <c r="AJ205" s="162">
        <f>AH190*AH205-AH191*AG205</f>
        <v>-29.868725263160343</v>
      </c>
      <c r="AK205" s="163"/>
    </row>
    <row r="206" spans="27:37" ht="12">
      <c r="AA206" s="161">
        <v>100</v>
      </c>
      <c r="AB206" s="15">
        <v>7</v>
      </c>
      <c r="AC206" s="15">
        <f>AC192*AA206/100</f>
        <v>144</v>
      </c>
      <c r="AD206" s="15">
        <f>AD192*AB206/100</f>
        <v>2.1420000000000003</v>
      </c>
      <c r="AE206" s="15"/>
      <c r="AF206" s="15"/>
      <c r="AG206" s="15">
        <f>AC206-(AC201+AC200)/2</f>
        <v>79.2</v>
      </c>
      <c r="AH206" s="15">
        <f>AD206-AH199</f>
        <v>-13.158000000000001</v>
      </c>
      <c r="AI206" s="162">
        <f>AH190*AG206+AH191*AH206</f>
        <v>67.52002680232748</v>
      </c>
      <c r="AJ206" s="162">
        <f>AH190*AH206-AH191*AG206</f>
        <v>-43.43752921855684</v>
      </c>
      <c r="AK206" s="163"/>
    </row>
    <row r="207" spans="27:37" ht="12">
      <c r="AA207" s="161">
        <v>100</v>
      </c>
      <c r="AB207" s="15"/>
      <c r="AC207" s="15">
        <f>AC192*AA207/100</f>
        <v>144</v>
      </c>
      <c r="AD207" s="15">
        <v>0</v>
      </c>
      <c r="AE207" s="15"/>
      <c r="AF207" s="15"/>
      <c r="AG207" s="15">
        <f>AC207-(AC201+AC200)/2</f>
        <v>79.2</v>
      </c>
      <c r="AH207" s="15">
        <f>AD207-AH199</f>
        <v>-15.3</v>
      </c>
      <c r="AI207" s="162">
        <f>AH190*AG207+AH191*AH207</f>
        <v>66.67202818164654</v>
      </c>
      <c r="AJ207" s="162">
        <f>AH190*AH207-AH191*AG207</f>
        <v>-45.40452244155564</v>
      </c>
      <c r="AK207" s="163"/>
    </row>
    <row r="208" spans="27:37" ht="12">
      <c r="AA208" s="161"/>
      <c r="AB208" s="15"/>
      <c r="AC208" s="15"/>
      <c r="AD208" s="15"/>
      <c r="AE208" s="15"/>
      <c r="AF208" s="15"/>
      <c r="AG208" s="15">
        <f>AG193</f>
        <v>-64.8</v>
      </c>
      <c r="AH208" s="15">
        <f>AD193-AH199</f>
        <v>-15.3</v>
      </c>
      <c r="AI208" s="162">
        <f>AH190*AG208+AH191*AH208</f>
        <v>-65.56281033928146</v>
      </c>
      <c r="AJ208" s="162">
        <f>AH190*AH208-AH191*AG208</f>
        <v>11.603788192457163</v>
      </c>
      <c r="AK208" s="163"/>
    </row>
    <row r="209" spans="27:37" ht="12">
      <c r="AA209" s="161"/>
      <c r="AB209" s="15"/>
      <c r="AC209" s="15"/>
      <c r="AD209" s="15"/>
      <c r="AE209" s="15"/>
      <c r="AF209" s="15"/>
      <c r="AG209" s="15"/>
      <c r="AH209" s="15"/>
      <c r="AI209" s="162"/>
      <c r="AJ209" s="162"/>
      <c r="AK209" s="163"/>
    </row>
    <row r="210" spans="27:37" ht="12">
      <c r="AA210" s="161"/>
      <c r="AB210" s="15"/>
      <c r="AC210" s="15"/>
      <c r="AD210" s="15"/>
      <c r="AE210" s="15"/>
      <c r="AF210" s="15"/>
      <c r="AG210" s="15"/>
      <c r="AH210" s="15"/>
      <c r="AI210" s="162"/>
      <c r="AJ210" s="162"/>
      <c r="AK210" s="163"/>
    </row>
    <row r="211" spans="27:37" ht="12">
      <c r="AA211" s="161"/>
      <c r="AB211" s="15"/>
      <c r="AC211" s="15"/>
      <c r="AD211" s="15"/>
      <c r="AE211" s="15"/>
      <c r="AF211" s="15"/>
      <c r="AG211" s="15"/>
      <c r="AH211" s="15"/>
      <c r="AI211" s="162"/>
      <c r="AJ211" s="162"/>
      <c r="AK211" s="163"/>
    </row>
    <row r="212" spans="27:37" ht="12">
      <c r="AA212" s="161"/>
      <c r="AB212" s="15"/>
      <c r="AC212" s="15"/>
      <c r="AD212" s="15"/>
      <c r="AE212" s="51" t="s">
        <v>0</v>
      </c>
      <c r="AF212" s="164">
        <f>Q40</f>
        <v>350</v>
      </c>
      <c r="AG212" s="15"/>
      <c r="AH212" s="15"/>
      <c r="AI212" s="162"/>
      <c r="AJ212" s="162"/>
      <c r="AK212" s="163"/>
    </row>
    <row r="213" spans="27:37" ht="12">
      <c r="AA213" s="161"/>
      <c r="AB213" s="15" t="s">
        <v>10</v>
      </c>
      <c r="AC213" s="15" t="s">
        <v>20</v>
      </c>
      <c r="AD213" s="15"/>
      <c r="AE213" s="15" t="s">
        <v>11</v>
      </c>
      <c r="AF213" s="176">
        <f>F40</f>
        <v>19.524125671427015</v>
      </c>
      <c r="AG213" s="15" t="s">
        <v>4</v>
      </c>
      <c r="AH213" s="177">
        <f>L40</f>
        <v>0.9425092385669837</v>
      </c>
      <c r="AI213" s="162"/>
      <c r="AJ213" s="162"/>
      <c r="AK213" s="163"/>
    </row>
    <row r="214" spans="27:37" ht="12">
      <c r="AA214" s="161"/>
      <c r="AB214" s="15"/>
      <c r="AC214" s="15" t="s">
        <v>22</v>
      </c>
      <c r="AD214" s="15"/>
      <c r="AE214" s="15"/>
      <c r="AF214" s="15"/>
      <c r="AG214" s="15" t="s">
        <v>8</v>
      </c>
      <c r="AH214" s="178">
        <f>T40</f>
        <v>0.3341800939850916</v>
      </c>
      <c r="AI214" s="162"/>
      <c r="AJ214" s="162"/>
      <c r="AK214" s="163"/>
    </row>
    <row r="215" spans="27:37" ht="12">
      <c r="AA215" s="161" t="s">
        <v>12</v>
      </c>
      <c r="AB215" s="15" t="s">
        <v>13</v>
      </c>
      <c r="AC215" s="175">
        <f>N40</f>
        <v>148.5</v>
      </c>
      <c r="AD215" s="15">
        <f>R40</f>
        <v>27.6</v>
      </c>
      <c r="AE215" s="15"/>
      <c r="AF215" s="15"/>
      <c r="AG215" s="15" t="s">
        <v>14</v>
      </c>
      <c r="AH215" s="15" t="s">
        <v>15</v>
      </c>
      <c r="AI215" s="162" t="s">
        <v>16</v>
      </c>
      <c r="AJ215" s="162" t="s">
        <v>17</v>
      </c>
      <c r="AK215" s="163"/>
    </row>
    <row r="216" spans="27:37" ht="12">
      <c r="AA216" s="161"/>
      <c r="AB216" s="15"/>
      <c r="AC216" s="15"/>
      <c r="AD216" s="15">
        <v>0</v>
      </c>
      <c r="AE216" s="15"/>
      <c r="AF216" s="15"/>
      <c r="AG216" s="15">
        <f>AC216-(AC224+AC223)/2</f>
        <v>-66.825</v>
      </c>
      <c r="AH216" s="15">
        <f>AD216-AH222</f>
        <v>-13.8</v>
      </c>
      <c r="AI216" s="162">
        <f>AH213*AG216+AH214*AH216</f>
        <v>-67.59486516423294</v>
      </c>
      <c r="AJ216" s="162">
        <f>AH213*AH216-AH214*AG216</f>
        <v>9.324957288329369</v>
      </c>
      <c r="AK216" s="163"/>
    </row>
    <row r="217" spans="27:37" ht="12">
      <c r="AA217" s="161">
        <v>0</v>
      </c>
      <c r="AB217" s="15">
        <v>10</v>
      </c>
      <c r="AC217" s="15">
        <f>AC215*AA217/100</f>
        <v>0</v>
      </c>
      <c r="AD217" s="15">
        <f>AD215*AB217/100</f>
        <v>2.76</v>
      </c>
      <c r="AE217" s="15"/>
      <c r="AF217" s="15"/>
      <c r="AG217" s="15">
        <f>AC217-(AC224+AC223)/2</f>
        <v>-66.825</v>
      </c>
      <c r="AH217" s="15">
        <f>AD217-AH222</f>
        <v>-11.040000000000001</v>
      </c>
      <c r="AI217" s="162">
        <f>AH213*AG217+AH214*AH217</f>
        <v>-66.6725281048341</v>
      </c>
      <c r="AJ217" s="162">
        <f>AH213*AH217-AH214*AG217</f>
        <v>11.926282786774243</v>
      </c>
      <c r="AK217" s="163"/>
    </row>
    <row r="218" spans="27:37" ht="12">
      <c r="AA218" s="161">
        <v>2.5</v>
      </c>
      <c r="AB218" s="15">
        <v>41</v>
      </c>
      <c r="AC218" s="15">
        <f>AC215*AA218/100</f>
        <v>3.7125</v>
      </c>
      <c r="AD218" s="15">
        <f>AD215*AB218/100</f>
        <v>11.316</v>
      </c>
      <c r="AE218" s="15"/>
      <c r="AF218" s="15"/>
      <c r="AG218" s="15">
        <f>AC218-(AC224+AC223)/2</f>
        <v>-63.112500000000004</v>
      </c>
      <c r="AH218" s="15">
        <f>AD218-AH222</f>
        <v>-2.484</v>
      </c>
      <c r="AI218" s="162">
        <f>AH213*AG218+AH214*AH218</f>
        <v>-60.31421767251773</v>
      </c>
      <c r="AJ218" s="162">
        <f>AH213*AH218-AH214*AG218</f>
        <v>18.749748233033706</v>
      </c>
      <c r="AK218" s="163"/>
    </row>
    <row r="219" spans="27:37" ht="12">
      <c r="AA219" s="161">
        <v>5</v>
      </c>
      <c r="AB219" s="15">
        <v>59</v>
      </c>
      <c r="AC219" s="15">
        <f>AC215*AA219/100</f>
        <v>7.425</v>
      </c>
      <c r="AD219" s="15">
        <f>AD215*AB219/100</f>
        <v>16.284000000000002</v>
      </c>
      <c r="AE219" s="15"/>
      <c r="AF219" s="15"/>
      <c r="AG219" s="15">
        <f>AC219-(AC224+AC223)/2</f>
        <v>-59.400000000000006</v>
      </c>
      <c r="AH219" s="15">
        <f>AD219-AH222</f>
        <v>2.4840000000000018</v>
      </c>
      <c r="AI219" s="162">
        <f>AH213*AG219+AH214*AH219</f>
        <v>-55.15494541741987</v>
      </c>
      <c r="AJ219" s="162">
        <f>AH213*AH219-AH214*AG219</f>
        <v>22.191490531314834</v>
      </c>
      <c r="AK219" s="163"/>
    </row>
    <row r="220" spans="27:37" ht="12">
      <c r="AA220" s="161">
        <v>10</v>
      </c>
      <c r="AB220" s="15">
        <v>79</v>
      </c>
      <c r="AC220" s="15">
        <f>AC215*AA220/100</f>
        <v>14.85</v>
      </c>
      <c r="AD220" s="15">
        <f>AD215*AB220/100</f>
        <v>21.804000000000002</v>
      </c>
      <c r="AE220" s="15"/>
      <c r="AF220" s="15"/>
      <c r="AG220" s="15">
        <f>AC220-(AC224+AC223)/2</f>
        <v>-51.975</v>
      </c>
      <c r="AH220" s="15">
        <f>AD220-AH222</f>
        <v>8.004000000000001</v>
      </c>
      <c r="AI220" s="162">
        <f>AH213*AG220+AH214*AH220</f>
        <v>-46.312140202262306</v>
      </c>
      <c r="AJ220" s="162">
        <f>AH213*AH220-AH214*AG220</f>
        <v>24.912854330365274</v>
      </c>
      <c r="AK220" s="163"/>
    </row>
    <row r="221" spans="27:37" ht="12">
      <c r="AA221" s="161">
        <v>20</v>
      </c>
      <c r="AB221" s="15">
        <v>95</v>
      </c>
      <c r="AC221" s="15">
        <f>AC215*AA221/100</f>
        <v>29.7</v>
      </c>
      <c r="AD221" s="15">
        <f>AD215*AB221/100</f>
        <v>26.22</v>
      </c>
      <c r="AE221" s="15"/>
      <c r="AF221" s="15"/>
      <c r="AG221" s="15">
        <f>AC221-(AC224+AC223)/2</f>
        <v>-37.125</v>
      </c>
      <c r="AH221" s="15">
        <f>AD221-AH222</f>
        <v>12.419999999999998</v>
      </c>
      <c r="AI221" s="162">
        <f>AH213*AG221+AH214*AH221</f>
        <v>-30.840138714504427</v>
      </c>
      <c r="AJ221" s="162">
        <f>AH213*AH221-AH214*AG221</f>
        <v>24.11240073219846</v>
      </c>
      <c r="AK221" s="163"/>
    </row>
    <row r="222" spans="27:37" ht="12">
      <c r="AA222" s="161">
        <v>30</v>
      </c>
      <c r="AB222" s="15">
        <v>100</v>
      </c>
      <c r="AC222" s="15">
        <f>AC215*AA222/100</f>
        <v>44.55</v>
      </c>
      <c r="AD222" s="15">
        <f>AD215*AB222/100</f>
        <v>27.6</v>
      </c>
      <c r="AE222" s="15"/>
      <c r="AF222" s="15"/>
      <c r="AG222" s="15">
        <f>AC222-(AC224+AC223)/2</f>
        <v>-22.275000000000006</v>
      </c>
      <c r="AH222" s="15">
        <f>AD222/2</f>
        <v>13.8</v>
      </c>
      <c r="AI222" s="162">
        <f>AH213*AG222+AH214*AH222</f>
        <v>-16.382707992085304</v>
      </c>
      <c r="AJ222" s="162">
        <f>AH213*AH222-AH214*AG222</f>
        <v>20.45048908574229</v>
      </c>
      <c r="AK222" s="163"/>
    </row>
    <row r="223" spans="27:37" ht="12">
      <c r="AA223" s="161">
        <v>40</v>
      </c>
      <c r="AB223" s="15">
        <v>99</v>
      </c>
      <c r="AC223" s="15">
        <f>AC215*AA223/100</f>
        <v>59.4</v>
      </c>
      <c r="AD223" s="15">
        <f>AD215*AB223/100</f>
        <v>27.324</v>
      </c>
      <c r="AE223" s="15"/>
      <c r="AF223" s="15"/>
      <c r="AG223" s="15">
        <f>AC223-(AC224+AC223)/2</f>
        <v>-7.425000000000004</v>
      </c>
      <c r="AH223" s="15">
        <f>AD223-AH222</f>
        <v>13.524000000000001</v>
      </c>
      <c r="AI223" s="162">
        <f>AH213*AG223+AH214*AH223</f>
        <v>-2.478679505305479</v>
      </c>
      <c r="AJ223" s="162">
        <f>AH213*AH223-AH214*AG223</f>
        <v>15.227782140219194</v>
      </c>
      <c r="AK223" s="163"/>
    </row>
    <row r="224" spans="27:37" ht="12">
      <c r="AA224" s="161">
        <v>50</v>
      </c>
      <c r="AB224" s="15">
        <v>95</v>
      </c>
      <c r="AC224" s="15">
        <f>AC215*AA224/100</f>
        <v>74.25</v>
      </c>
      <c r="AD224" s="15">
        <f>AD215*AB224/100</f>
        <v>26.22</v>
      </c>
      <c r="AE224" s="15"/>
      <c r="AF224" s="15"/>
      <c r="AG224" s="15">
        <f>AC224-(AC224+AC223)/2</f>
        <v>7.424999999999997</v>
      </c>
      <c r="AH224" s="15">
        <f>AD224-AH222</f>
        <v>12.419999999999998</v>
      </c>
      <c r="AI224" s="162">
        <f>AH213*AG224+AH214*AH224</f>
        <v>11.148647863654688</v>
      </c>
      <c r="AJ224" s="162">
        <f>AH213*AH224-AH214*AG224</f>
        <v>9.224677545162631</v>
      </c>
      <c r="AK224" s="163"/>
    </row>
    <row r="225" spans="27:37" ht="12">
      <c r="AA225" s="161">
        <v>60</v>
      </c>
      <c r="AB225" s="15">
        <v>87</v>
      </c>
      <c r="AC225" s="15">
        <f>AC215*AA225/100</f>
        <v>89.1</v>
      </c>
      <c r="AD225" s="15">
        <f>AD215*AB225/100</f>
        <v>24.012000000000004</v>
      </c>
      <c r="AE225" s="15"/>
      <c r="AF225" s="15"/>
      <c r="AG225" s="15">
        <f>AC225-(AC224+AC223)/2</f>
        <v>22.27499999999999</v>
      </c>
      <c r="AH225" s="15">
        <f>AD225-AH222</f>
        <v>10.212000000000003</v>
      </c>
      <c r="AI225" s="162">
        <f>AH213*AG225+AH214*AH225</f>
        <v>24.40704040885531</v>
      </c>
      <c r="AJ225" s="162">
        <f>AH213*AH225-AH214*AG225</f>
        <v>2.1810427507281283</v>
      </c>
      <c r="AK225" s="163"/>
    </row>
    <row r="226" spans="27:37" ht="12">
      <c r="AA226" s="161">
        <v>70</v>
      </c>
      <c r="AB226" s="15">
        <v>74</v>
      </c>
      <c r="AC226" s="15">
        <f>AC215*AA226/100</f>
        <v>103.95</v>
      </c>
      <c r="AD226" s="15">
        <f>AD215*AB226/100</f>
        <v>20.424</v>
      </c>
      <c r="AE226" s="15"/>
      <c r="AF226" s="15"/>
      <c r="AG226" s="15">
        <f>AC226-(AC224+AC223)/2</f>
        <v>37.125</v>
      </c>
      <c r="AH226" s="15">
        <f>AD226-AH222</f>
        <v>6.623999999999999</v>
      </c>
      <c r="AI226" s="162">
        <f>AH213*AG226+AH214*AH226</f>
        <v>37.20426442435651</v>
      </c>
      <c r="AJ226" s="162">
        <f>AH213*AH226-AH214*AG226</f>
        <v>-6.163254792928825</v>
      </c>
      <c r="AK226" s="163"/>
    </row>
    <row r="227" spans="27:37" ht="12">
      <c r="AA227" s="161">
        <v>80</v>
      </c>
      <c r="AB227" s="15">
        <v>56</v>
      </c>
      <c r="AC227" s="15">
        <f>AC215*AA227/100</f>
        <v>118.8</v>
      </c>
      <c r="AD227" s="15">
        <f>AD215*AB227/100</f>
        <v>15.456000000000001</v>
      </c>
      <c r="AE227" s="15"/>
      <c r="AF227" s="15"/>
      <c r="AG227" s="15">
        <f>AC227-(AC224+AC223)/2</f>
        <v>51.974999999999994</v>
      </c>
      <c r="AH227" s="15">
        <f>AD227-AH222</f>
        <v>1.6560000000000006</v>
      </c>
      <c r="AI227" s="162">
        <f>AH213*AG227+AH214*AH227</f>
        <v>49.54031991015828</v>
      </c>
      <c r="AJ227" s="162">
        <f>AH213*AH227-AH214*AG227</f>
        <v>-15.808215085808207</v>
      </c>
      <c r="AK227" s="163"/>
    </row>
    <row r="228" spans="27:37" ht="12">
      <c r="AA228" s="161">
        <v>90</v>
      </c>
      <c r="AB228" s="15">
        <v>35</v>
      </c>
      <c r="AC228" s="15">
        <f>AC215*AA228/100</f>
        <v>133.65</v>
      </c>
      <c r="AD228" s="15">
        <f>AD215*AB228/100</f>
        <v>9.66</v>
      </c>
      <c r="AE228" s="15"/>
      <c r="AF228" s="15"/>
      <c r="AG228" s="15">
        <f>AC228-(AC224+AC223)/2</f>
        <v>66.825</v>
      </c>
      <c r="AH228" s="15">
        <f>AD228-AH222</f>
        <v>-4.140000000000001</v>
      </c>
      <c r="AI228" s="162">
        <f>AH213*AG228+AH214*AH228</f>
        <v>61.599674278140405</v>
      </c>
      <c r="AJ228" s="162">
        <f>AH213*AH228-AH214*AG228</f>
        <v>-26.233573028221056</v>
      </c>
      <c r="AK228" s="163"/>
    </row>
    <row r="229" spans="27:37" ht="12">
      <c r="AA229" s="161">
        <v>100</v>
      </c>
      <c r="AB229" s="15">
        <v>7</v>
      </c>
      <c r="AC229" s="15">
        <f>AC215*AA229/100</f>
        <v>148.5</v>
      </c>
      <c r="AD229" s="15">
        <f>AD215*AB229/100</f>
        <v>1.9320000000000002</v>
      </c>
      <c r="AE229" s="15"/>
      <c r="AF229" s="15"/>
      <c r="AG229" s="15">
        <f>AC229-(AC224+AC223)/2</f>
        <v>81.675</v>
      </c>
      <c r="AH229" s="15">
        <f>AD229-AH222</f>
        <v>-11.868</v>
      </c>
      <c r="AI229" s="162">
        <f>AH213*AG229+AH214*AH229</f>
        <v>73.01339270454332</v>
      </c>
      <c r="AJ229" s="162">
        <f>AH213*AH229-AH214*AG229</f>
        <v>-38.47985881954531</v>
      </c>
      <c r="AK229" s="163"/>
    </row>
    <row r="230" spans="27:37" ht="12">
      <c r="AA230" s="161">
        <v>100</v>
      </c>
      <c r="AB230" s="15"/>
      <c r="AC230" s="15">
        <f>AC215*AA230/100</f>
        <v>148.5</v>
      </c>
      <c r="AD230" s="15">
        <v>0</v>
      </c>
      <c r="AE230" s="15"/>
      <c r="AF230" s="15"/>
      <c r="AG230" s="15">
        <f>AC230-(AC224+AC223)/2</f>
        <v>81.675</v>
      </c>
      <c r="AH230" s="15">
        <f>AD230-AH222</f>
        <v>-13.8</v>
      </c>
      <c r="AI230" s="162">
        <f>AH213*AG230+AH214*AH230</f>
        <v>72.36775676296412</v>
      </c>
      <c r="AJ230" s="162">
        <f>AH213*AH230-AH214*AG230</f>
        <v>-40.30078666845672</v>
      </c>
      <c r="AK230" s="163"/>
    </row>
    <row r="231" spans="27:37" ht="12">
      <c r="AA231" s="161"/>
      <c r="AB231" s="15"/>
      <c r="AC231" s="15"/>
      <c r="AD231" s="15"/>
      <c r="AE231" s="15"/>
      <c r="AF231" s="15"/>
      <c r="AG231" s="15">
        <f>AG216</f>
        <v>-66.825</v>
      </c>
      <c r="AH231" s="15">
        <f>AD216-AH222</f>
        <v>-13.8</v>
      </c>
      <c r="AI231" s="162">
        <f>AH213*AG231+AH214*AH231</f>
        <v>-67.59486516423294</v>
      </c>
      <c r="AJ231" s="162">
        <f>AH213*AH231-AH214*AG231</f>
        <v>9.324957288329369</v>
      </c>
      <c r="AK231" s="163"/>
    </row>
    <row r="232" spans="27:37" ht="12">
      <c r="AA232" s="161"/>
      <c r="AB232" s="15"/>
      <c r="AC232" s="15"/>
      <c r="AD232" s="15"/>
      <c r="AE232" s="15"/>
      <c r="AF232" s="15"/>
      <c r="AG232" s="15"/>
      <c r="AH232" s="15"/>
      <c r="AI232" s="162"/>
      <c r="AJ232" s="162"/>
      <c r="AK232" s="163"/>
    </row>
    <row r="233" spans="27:37" ht="12">
      <c r="AA233" s="161"/>
      <c r="AB233" s="15"/>
      <c r="AC233" s="15"/>
      <c r="AD233" s="15"/>
      <c r="AE233" s="15"/>
      <c r="AF233" s="15"/>
      <c r="AG233" s="15"/>
      <c r="AH233" s="15"/>
      <c r="AI233" s="162"/>
      <c r="AJ233" s="162"/>
      <c r="AK233" s="163"/>
    </row>
    <row r="234" spans="27:37" ht="12">
      <c r="AA234" s="161"/>
      <c r="AB234" s="15"/>
      <c r="AC234" s="15"/>
      <c r="AD234" s="15"/>
      <c r="AE234" s="15"/>
      <c r="AF234" s="15"/>
      <c r="AG234" s="15"/>
      <c r="AH234" s="15"/>
      <c r="AI234" s="162"/>
      <c r="AJ234" s="162"/>
      <c r="AK234" s="163"/>
    </row>
    <row r="235" spans="27:37" ht="12">
      <c r="AA235" s="161"/>
      <c r="AB235" s="15"/>
      <c r="AC235" s="15"/>
      <c r="AD235" s="15"/>
      <c r="AE235" s="51" t="s">
        <v>0</v>
      </c>
      <c r="AF235" s="164">
        <f>Q41</f>
        <v>420</v>
      </c>
      <c r="AG235" s="15"/>
      <c r="AH235" s="15"/>
      <c r="AI235" s="162"/>
      <c r="AJ235" s="162"/>
      <c r="AK235" s="163"/>
    </row>
    <row r="236" spans="27:37" ht="12">
      <c r="AA236" s="161"/>
      <c r="AB236" s="15" t="s">
        <v>10</v>
      </c>
      <c r="AC236" s="15" t="s">
        <v>20</v>
      </c>
      <c r="AD236" s="15"/>
      <c r="AE236" s="15" t="s">
        <v>11</v>
      </c>
      <c r="AF236" s="176">
        <f>F41</f>
        <v>15.686182912084355</v>
      </c>
      <c r="AG236" s="15" t="s">
        <v>4</v>
      </c>
      <c r="AH236" s="177">
        <f>L41</f>
        <v>0.9627624265610113</v>
      </c>
      <c r="AI236" s="162"/>
      <c r="AJ236" s="162"/>
      <c r="AK236" s="163"/>
    </row>
    <row r="237" spans="27:37" ht="12">
      <c r="AA237" s="161"/>
      <c r="AB237" s="15"/>
      <c r="AC237" s="15" t="s">
        <v>22</v>
      </c>
      <c r="AD237" s="15"/>
      <c r="AE237" s="15"/>
      <c r="AF237" s="15"/>
      <c r="AG237" s="15" t="s">
        <v>8</v>
      </c>
      <c r="AH237" s="178">
        <f>T41</f>
        <v>0.27034886721115226</v>
      </c>
      <c r="AI237" s="162"/>
      <c r="AJ237" s="162"/>
      <c r="AK237" s="163"/>
    </row>
    <row r="238" spans="27:37" ht="12">
      <c r="AA238" s="161" t="s">
        <v>12</v>
      </c>
      <c r="AB238" s="15" t="s">
        <v>13</v>
      </c>
      <c r="AC238" s="175">
        <f>N41</f>
        <v>151.5</v>
      </c>
      <c r="AD238" s="15">
        <f>R41</f>
        <v>24.7</v>
      </c>
      <c r="AE238" s="15"/>
      <c r="AF238" s="15"/>
      <c r="AG238" s="15" t="s">
        <v>14</v>
      </c>
      <c r="AH238" s="15" t="s">
        <v>15</v>
      </c>
      <c r="AI238" s="162" t="s">
        <v>16</v>
      </c>
      <c r="AJ238" s="162" t="s">
        <v>17</v>
      </c>
      <c r="AK238" s="163"/>
    </row>
    <row r="239" spans="27:37" ht="12">
      <c r="AA239" s="161"/>
      <c r="AB239" s="15"/>
      <c r="AC239" s="15"/>
      <c r="AD239" s="15">
        <v>0</v>
      </c>
      <c r="AE239" s="15"/>
      <c r="AF239" s="15"/>
      <c r="AG239" s="15">
        <f>AC239-(AC247+AC246)/2</f>
        <v>-68.175</v>
      </c>
      <c r="AH239" s="15">
        <f>AD239-AH245</f>
        <v>-12.35</v>
      </c>
      <c r="AI239" s="162">
        <f>AH236*AG239+AH237*AH239</f>
        <v>-68.97513694085467</v>
      </c>
      <c r="AJ239" s="162">
        <f>AH236*AH239-AH237*AG239</f>
        <v>6.540918054091815</v>
      </c>
      <c r="AK239" s="163"/>
    </row>
    <row r="240" spans="27:37" ht="12">
      <c r="AA240" s="161">
        <v>0</v>
      </c>
      <c r="AB240" s="15">
        <v>10</v>
      </c>
      <c r="AC240" s="15">
        <f>AC238*AA240/100</f>
        <v>0</v>
      </c>
      <c r="AD240" s="15">
        <f>AD238*AB240/100</f>
        <v>2.47</v>
      </c>
      <c r="AE240" s="15"/>
      <c r="AF240" s="15"/>
      <c r="AG240" s="15">
        <f>AC240-(AC247+AC246)/2</f>
        <v>-68.175</v>
      </c>
      <c r="AH240" s="15">
        <f>AD240-AH245</f>
        <v>-9.879999999999999</v>
      </c>
      <c r="AI240" s="162">
        <f>AH236*AG240+AH237*AH240</f>
        <v>-68.30737523884312</v>
      </c>
      <c r="AJ240" s="162">
        <f>AH236*AH240-AH237*AG240</f>
        <v>8.918941247697514</v>
      </c>
      <c r="AK240" s="163"/>
    </row>
    <row r="241" spans="27:37" ht="12">
      <c r="AA241" s="161">
        <v>2.5</v>
      </c>
      <c r="AB241" s="15">
        <v>41</v>
      </c>
      <c r="AC241" s="15">
        <f>AC238*AA241/100</f>
        <v>3.7875</v>
      </c>
      <c r="AD241" s="15">
        <f>AD238*AB241/100</f>
        <v>10.126999999999999</v>
      </c>
      <c r="AE241" s="15"/>
      <c r="AF241" s="15"/>
      <c r="AG241" s="15">
        <f>AC241-(AC247+AC246)/2</f>
        <v>-64.3875</v>
      </c>
      <c r="AH241" s="15">
        <f>AD241-AH245</f>
        <v>-2.2230000000000008</v>
      </c>
      <c r="AI241" s="162">
        <f>AH236*AG241+AH237*AH241</f>
        <v>-62.59085127200751</v>
      </c>
      <c r="AJ241" s="162">
        <f>AH236*AH241-AH237*AG241</f>
        <v>15.266866813312939</v>
      </c>
      <c r="AK241" s="163"/>
    </row>
    <row r="242" spans="27:37" ht="12">
      <c r="AA242" s="161">
        <v>5</v>
      </c>
      <c r="AB242" s="15">
        <v>59</v>
      </c>
      <c r="AC242" s="15">
        <f>AC238*AA242/100</f>
        <v>7.575</v>
      </c>
      <c r="AD242" s="15">
        <f>AD238*AB242/100</f>
        <v>14.573</v>
      </c>
      <c r="AE242" s="15"/>
      <c r="AF242" s="15"/>
      <c r="AG242" s="15">
        <f>AC242-(AC247+AC246)/2</f>
        <v>-60.599999999999994</v>
      </c>
      <c r="AH242" s="15">
        <f>AD242-AH245</f>
        <v>2.2230000000000008</v>
      </c>
      <c r="AI242" s="162">
        <f>AH236*AG242+AH237*AH242</f>
        <v>-57.74241751778688</v>
      </c>
      <c r="AJ242" s="162">
        <f>AH236*AH242-AH237*AG242</f>
        <v>18.523362227240952</v>
      </c>
      <c r="AK242" s="163"/>
    </row>
    <row r="243" spans="27:37" ht="12">
      <c r="AA243" s="161">
        <v>10</v>
      </c>
      <c r="AB243" s="15">
        <v>79</v>
      </c>
      <c r="AC243" s="15">
        <f>AC238*AA243/100</f>
        <v>15.15</v>
      </c>
      <c r="AD243" s="15">
        <f>AD238*AB243/100</f>
        <v>19.512999999999998</v>
      </c>
      <c r="AE243" s="15"/>
      <c r="AF243" s="15"/>
      <c r="AG243" s="15">
        <f>AC243-(AC247+AC246)/2</f>
        <v>-53.025</v>
      </c>
      <c r="AH243" s="15">
        <f>AD243-AH245</f>
        <v>7.1629999999999985</v>
      </c>
      <c r="AI243" s="162">
        <f>AH236*AG243+AH237*AH243</f>
        <v>-49.113968732564146</v>
      </c>
      <c r="AJ243" s="162">
        <f>AH236*AH243-AH237*AG243</f>
        <v>21.23151594532787</v>
      </c>
      <c r="AK243" s="163"/>
    </row>
    <row r="244" spans="27:37" ht="12">
      <c r="AA244" s="161">
        <v>20</v>
      </c>
      <c r="AB244" s="15">
        <v>95</v>
      </c>
      <c r="AC244" s="15">
        <f>AC238*AA244/100</f>
        <v>30.3</v>
      </c>
      <c r="AD244" s="15">
        <f>AD238*AB244/100</f>
        <v>23.465</v>
      </c>
      <c r="AE244" s="15"/>
      <c r="AF244" s="15"/>
      <c r="AG244" s="15">
        <f>AC244-(AC247+AC246)/2</f>
        <v>-37.875</v>
      </c>
      <c r="AH244" s="15">
        <f>AD244-AH245</f>
        <v>11.115</v>
      </c>
      <c r="AI244" s="162">
        <f>AH236*AG244+AH237*AH244</f>
        <v>-33.45969924694634</v>
      </c>
      <c r="AJ244" s="162">
        <f>AH236*AH244-AH237*AG244</f>
        <v>20.940567716848033</v>
      </c>
      <c r="AK244" s="163"/>
    </row>
    <row r="245" spans="27:37" ht="12">
      <c r="AA245" s="161">
        <v>30</v>
      </c>
      <c r="AB245" s="15">
        <v>100</v>
      </c>
      <c r="AC245" s="15">
        <f>AC238*AA245/100</f>
        <v>45.45</v>
      </c>
      <c r="AD245" s="15">
        <f>AD238*AB245/100</f>
        <v>24.7</v>
      </c>
      <c r="AE245" s="15"/>
      <c r="AF245" s="15"/>
      <c r="AG245" s="15">
        <f>AC245-(AC247+AC246)/2</f>
        <v>-22.724999999999994</v>
      </c>
      <c r="AH245" s="15">
        <f>AD245/2</f>
        <v>12.35</v>
      </c>
      <c r="AI245" s="162">
        <f>AH236*AG245+AH237*AH245</f>
        <v>-18.539967633541245</v>
      </c>
      <c r="AJ245" s="162">
        <f>AH236*AH245-AH237*AG245</f>
        <v>18.033793975401924</v>
      </c>
      <c r="AK245" s="163"/>
    </row>
    <row r="246" spans="27:37" ht="12">
      <c r="AA246" s="161">
        <v>40</v>
      </c>
      <c r="AB246" s="15">
        <v>99</v>
      </c>
      <c r="AC246" s="15">
        <f>AC238*AA246/100</f>
        <v>60.6</v>
      </c>
      <c r="AD246" s="15">
        <f>AD238*AB246/100</f>
        <v>24.452999999999996</v>
      </c>
      <c r="AE246" s="15"/>
      <c r="AF246" s="15"/>
      <c r="AG246" s="15">
        <f>AC246-(AC247+AC246)/2</f>
        <v>-7.574999999999996</v>
      </c>
      <c r="AH246" s="15">
        <f>AD246-AH245</f>
        <v>12.102999999999996</v>
      </c>
      <c r="AI246" s="162">
        <f>AH236*AG246+AH237*AH246</f>
        <v>-4.020893041343081</v>
      </c>
      <c r="AJ246" s="162">
        <f>AH236*AH246-AH237*AG246</f>
        <v>13.700206317792393</v>
      </c>
      <c r="AK246" s="163"/>
    </row>
    <row r="247" spans="27:37" ht="12">
      <c r="AA247" s="161">
        <v>50</v>
      </c>
      <c r="AB247" s="15">
        <v>95</v>
      </c>
      <c r="AC247" s="15">
        <f>AC238*AA247/100</f>
        <v>75.75</v>
      </c>
      <c r="AD247" s="15">
        <f>AD238*AB247/100</f>
        <v>23.465</v>
      </c>
      <c r="AE247" s="15"/>
      <c r="AF247" s="15"/>
      <c r="AG247" s="15">
        <f>AC247-(AC247+AC246)/2</f>
        <v>7.575000000000003</v>
      </c>
      <c r="AH247" s="15">
        <f>AD247-AH245</f>
        <v>11.115</v>
      </c>
      <c r="AI247" s="162">
        <f>AH236*AG247+AH237*AH247</f>
        <v>10.29785304025162</v>
      </c>
      <c r="AJ247" s="162">
        <f>AH236*AH247-AH237*AG247</f>
        <v>8.653211702101162</v>
      </c>
      <c r="AK247" s="163"/>
    </row>
    <row r="248" spans="27:37" ht="12">
      <c r="AA248" s="161">
        <v>60</v>
      </c>
      <c r="AB248" s="15">
        <v>87</v>
      </c>
      <c r="AC248" s="15">
        <f>AC238*AA248/100</f>
        <v>90.9</v>
      </c>
      <c r="AD248" s="15">
        <f>AD238*AB248/100</f>
        <v>21.489</v>
      </c>
      <c r="AE248" s="15"/>
      <c r="AF248" s="15"/>
      <c r="AG248" s="15">
        <f>AC248-(AC247+AC246)/2</f>
        <v>22.72500000000001</v>
      </c>
      <c r="AH248" s="15">
        <f>AD248-AH245</f>
        <v>9.139000000000001</v>
      </c>
      <c r="AI248" s="162">
        <f>AH236*AG248+AH237*AH248</f>
        <v>24.349494441041713</v>
      </c>
      <c r="AJ248" s="162">
        <f>AH236*AH248-AH237*AG248</f>
        <v>2.655007808967645</v>
      </c>
      <c r="AK248" s="163"/>
    </row>
    <row r="249" spans="27:37" ht="12">
      <c r="AA249" s="161">
        <v>70</v>
      </c>
      <c r="AB249" s="15">
        <v>74</v>
      </c>
      <c r="AC249" s="15">
        <f>AC238*AA249/100</f>
        <v>106.05</v>
      </c>
      <c r="AD249" s="15">
        <f>AD238*AB249/100</f>
        <v>18.278</v>
      </c>
      <c r="AE249" s="15"/>
      <c r="AF249" s="15"/>
      <c r="AG249" s="15">
        <f>AC249-(AC247+AC246)/2</f>
        <v>37.875</v>
      </c>
      <c r="AH249" s="15">
        <f>AD249-AH245</f>
        <v>5.927999999999999</v>
      </c>
      <c r="AI249" s="162">
        <f>AH236*AG249+AH237*AH249</f>
        <v>38.067254990826015</v>
      </c>
      <c r="AJ249" s="162">
        <f>AH236*AH249-AH237*AG249</f>
        <v>-4.5322076809687175</v>
      </c>
      <c r="AK249" s="163"/>
    </row>
    <row r="250" spans="27:37" ht="12">
      <c r="AA250" s="161">
        <v>80</v>
      </c>
      <c r="AB250" s="15">
        <v>56</v>
      </c>
      <c r="AC250" s="15">
        <f>AC238*AA250/100</f>
        <v>121.2</v>
      </c>
      <c r="AD250" s="15">
        <f>AD238*AB250/100</f>
        <v>13.832</v>
      </c>
      <c r="AE250" s="15"/>
      <c r="AF250" s="15"/>
      <c r="AG250" s="15">
        <f>AC250-(AC247+AC246)/2</f>
        <v>53.025000000000006</v>
      </c>
      <c r="AH250" s="15">
        <f>AD250-AH245</f>
        <v>1.482000000000001</v>
      </c>
      <c r="AI250" s="162">
        <f>AH236*AG250+AH237*AH250</f>
        <v>51.45113468960455</v>
      </c>
      <c r="AJ250" s="162">
        <f>AH236*AH250-AH237*AG250</f>
        <v>-12.90843476770793</v>
      </c>
      <c r="AK250" s="163"/>
    </row>
    <row r="251" spans="27:37" ht="12">
      <c r="AA251" s="161">
        <v>90</v>
      </c>
      <c r="AB251" s="15">
        <v>35</v>
      </c>
      <c r="AC251" s="15">
        <f>AC238*AA251/100</f>
        <v>136.35</v>
      </c>
      <c r="AD251" s="15">
        <f>AD238*AB251/100</f>
        <v>8.645</v>
      </c>
      <c r="AE251" s="15"/>
      <c r="AF251" s="15"/>
      <c r="AG251" s="15">
        <f>AC251-(AC247+AC246)/2</f>
        <v>68.175</v>
      </c>
      <c r="AH251" s="15">
        <f>AD251-AH245</f>
        <v>-3.705</v>
      </c>
      <c r="AI251" s="162">
        <f>AH236*AG251+AH237*AH251</f>
        <v>64.63468587777962</v>
      </c>
      <c r="AJ251" s="162">
        <f>AH236*AH251-AH237*AG251</f>
        <v>-21.99806881252885</v>
      </c>
      <c r="AK251" s="163"/>
    </row>
    <row r="252" spans="27:37" ht="12">
      <c r="AA252" s="161">
        <v>100</v>
      </c>
      <c r="AB252" s="15">
        <v>7</v>
      </c>
      <c r="AC252" s="15">
        <f>AC238*AA252/100</f>
        <v>151.5</v>
      </c>
      <c r="AD252" s="15">
        <f>AD238*AB252/100</f>
        <v>1.729</v>
      </c>
      <c r="AE252" s="15"/>
      <c r="AF252" s="15"/>
      <c r="AG252" s="15">
        <f>AC252-(AC247+AC246)/2</f>
        <v>83.325</v>
      </c>
      <c r="AH252" s="15">
        <f>AD252-AH245</f>
        <v>-10.620999999999999</v>
      </c>
      <c r="AI252" s="162">
        <f>AH236*AG252+AH237*AH252</f>
        <v>77.35080387454661</v>
      </c>
      <c r="AJ252" s="162">
        <f>AH236*AH252-AH237*AG252</f>
        <v>-32.75231909287376</v>
      </c>
      <c r="AK252" s="163"/>
    </row>
    <row r="253" spans="27:37" ht="12">
      <c r="AA253" s="161">
        <v>100</v>
      </c>
      <c r="AB253" s="15"/>
      <c r="AC253" s="15">
        <f>AC238*AA253/100</f>
        <v>151.5</v>
      </c>
      <c r="AD253" s="15">
        <v>0</v>
      </c>
      <c r="AE253" s="15"/>
      <c r="AF253" s="15"/>
      <c r="AG253" s="15">
        <f>AC253-(AC247+AC246)/2</f>
        <v>83.325</v>
      </c>
      <c r="AH253" s="15">
        <f>AD253-AH245</f>
        <v>-12.35</v>
      </c>
      <c r="AI253" s="162">
        <f>AH236*AG253+AH237*AH253</f>
        <v>76.88337068313854</v>
      </c>
      <c r="AJ253" s="162">
        <f>AH236*AH253-AH237*AG253</f>
        <v>-34.416935328397756</v>
      </c>
      <c r="AK253" s="163"/>
    </row>
    <row r="254" spans="27:37" ht="12">
      <c r="AA254" s="161"/>
      <c r="AB254" s="15"/>
      <c r="AC254" s="15"/>
      <c r="AD254" s="15"/>
      <c r="AE254" s="15"/>
      <c r="AF254" s="15"/>
      <c r="AG254" s="15">
        <f>AG239</f>
        <v>-68.175</v>
      </c>
      <c r="AH254" s="15">
        <f>AD239-AH245</f>
        <v>-12.35</v>
      </c>
      <c r="AI254" s="162">
        <f>AH236*AG254+AH237*AH254</f>
        <v>-68.97513694085467</v>
      </c>
      <c r="AJ254" s="162">
        <f>AH236*AH254-AH237*AG254</f>
        <v>6.540918054091815</v>
      </c>
      <c r="AK254" s="163"/>
    </row>
    <row r="255" spans="27:37" ht="12">
      <c r="AA255" s="161"/>
      <c r="AB255" s="15"/>
      <c r="AC255" s="15"/>
      <c r="AD255" s="15"/>
      <c r="AE255" s="15"/>
      <c r="AF255" s="15"/>
      <c r="AG255" s="15"/>
      <c r="AH255" s="15"/>
      <c r="AI255" s="162"/>
      <c r="AJ255" s="162"/>
      <c r="AK255" s="163"/>
    </row>
    <row r="256" spans="27:37" ht="12">
      <c r="AA256" s="161"/>
      <c r="AB256" s="15"/>
      <c r="AC256" s="15"/>
      <c r="AD256" s="15"/>
      <c r="AE256" s="15"/>
      <c r="AF256" s="15"/>
      <c r="AG256" s="15"/>
      <c r="AH256" s="15"/>
      <c r="AI256" s="162"/>
      <c r="AJ256" s="162"/>
      <c r="AK256" s="163"/>
    </row>
    <row r="257" spans="27:37" ht="12">
      <c r="AA257" s="161"/>
      <c r="AB257" s="15"/>
      <c r="AC257" s="15"/>
      <c r="AD257" s="15"/>
      <c r="AE257" s="51" t="s">
        <v>0</v>
      </c>
      <c r="AF257" s="164">
        <f>Q42</f>
        <v>489.99999999999994</v>
      </c>
      <c r="AG257" s="15"/>
      <c r="AH257" s="15"/>
      <c r="AI257" s="162"/>
      <c r="AJ257" s="162"/>
      <c r="AK257" s="163"/>
    </row>
    <row r="258" spans="27:37" ht="12">
      <c r="AA258" s="161"/>
      <c r="AB258" s="15" t="s">
        <v>10</v>
      </c>
      <c r="AC258" s="15" t="s">
        <v>20</v>
      </c>
      <c r="AD258" s="15"/>
      <c r="AE258" s="15" t="s">
        <v>11</v>
      </c>
      <c r="AF258" s="176">
        <f>F42</f>
        <v>11.925825386957483</v>
      </c>
      <c r="AG258" s="15" t="s">
        <v>4</v>
      </c>
      <c r="AH258" s="177">
        <f>L42</f>
        <v>0.9784191096233705</v>
      </c>
      <c r="AI258" s="162"/>
      <c r="AJ258" s="162"/>
      <c r="AK258" s="163"/>
    </row>
    <row r="259" spans="27:37" ht="12">
      <c r="AA259" s="161"/>
      <c r="AB259" s="15"/>
      <c r="AC259" s="15" t="s">
        <v>22</v>
      </c>
      <c r="AD259" s="15"/>
      <c r="AE259" s="15"/>
      <c r="AF259" s="15"/>
      <c r="AG259" s="15" t="s">
        <v>8</v>
      </c>
      <c r="AH259" s="178">
        <f>T42</f>
        <v>0.20663021541829468</v>
      </c>
      <c r="AI259" s="162"/>
      <c r="AJ259" s="162"/>
      <c r="AK259" s="163"/>
    </row>
    <row r="260" spans="27:37" ht="12">
      <c r="AA260" s="161" t="s">
        <v>12</v>
      </c>
      <c r="AB260" s="15" t="s">
        <v>13</v>
      </c>
      <c r="AC260" s="175">
        <f>N42</f>
        <v>150.74999999999997</v>
      </c>
      <c r="AD260" s="15">
        <f>R42</f>
        <v>21.7</v>
      </c>
      <c r="AE260" s="15"/>
      <c r="AF260" s="15"/>
      <c r="AG260" s="15" t="s">
        <v>14</v>
      </c>
      <c r="AH260" s="15" t="s">
        <v>15</v>
      </c>
      <c r="AI260" s="162" t="s">
        <v>16</v>
      </c>
      <c r="AJ260" s="162" t="s">
        <v>17</v>
      </c>
      <c r="AK260" s="163"/>
    </row>
    <row r="261" spans="27:37" ht="12">
      <c r="AA261" s="161"/>
      <c r="AB261" s="15"/>
      <c r="AC261" s="15"/>
      <c r="AD261" s="15">
        <v>0</v>
      </c>
      <c r="AE261" s="15"/>
      <c r="AF261" s="15"/>
      <c r="AG261" s="15">
        <f>AC261-(AC269+AC268)/2</f>
        <v>-67.83749999999999</v>
      </c>
      <c r="AH261" s="15">
        <f>AD261-AH267</f>
        <v>-10.85</v>
      </c>
      <c r="AI261" s="162">
        <f>AH258*AG261+AH259*AH261</f>
        <v>-68.61544418636389</v>
      </c>
      <c r="AJ261" s="162">
        <f>AH258*AH261-AH259*AG261</f>
        <v>3.4014298990249934</v>
      </c>
      <c r="AK261" s="163"/>
    </row>
    <row r="262" spans="27:37" ht="12">
      <c r="AA262" s="161">
        <v>0</v>
      </c>
      <c r="AB262" s="15">
        <v>10</v>
      </c>
      <c r="AC262" s="15">
        <f>AC260*AA262/100</f>
        <v>0</v>
      </c>
      <c r="AD262" s="15">
        <f>AD260*AB262/100</f>
        <v>2.17</v>
      </c>
      <c r="AE262" s="15"/>
      <c r="AF262" s="15"/>
      <c r="AG262" s="15">
        <f>AC262-(AC269+AC268)/2</f>
        <v>-67.83749999999999</v>
      </c>
      <c r="AH262" s="15">
        <f>AD262-AH267</f>
        <v>-8.68</v>
      </c>
      <c r="AI262" s="162">
        <f>AH258*AG262+AH259*AH262</f>
        <v>-68.16705661890619</v>
      </c>
      <c r="AJ262" s="162">
        <f>AH258*AH262-AH259*AG262</f>
        <v>5.524599366907708</v>
      </c>
      <c r="AK262" s="163"/>
    </row>
    <row r="263" spans="27:37" ht="12">
      <c r="AA263" s="161">
        <v>2.5</v>
      </c>
      <c r="AB263" s="15">
        <v>41</v>
      </c>
      <c r="AC263" s="15">
        <f>AC260*AA263/100</f>
        <v>3.7687499999999994</v>
      </c>
      <c r="AD263" s="15">
        <f>AD260*AB263/100</f>
        <v>8.896999999999998</v>
      </c>
      <c r="AE263" s="15"/>
      <c r="AF263" s="15"/>
      <c r="AG263" s="15">
        <f>AC263-(AC269+AC268)/2</f>
        <v>-64.06875</v>
      </c>
      <c r="AH263" s="15">
        <f>AD263-AH267</f>
        <v>-1.9530000000000012</v>
      </c>
      <c r="AI263" s="162">
        <f>AH258*AG263+AH259*AH263</f>
        <v>-63.08963814039425</v>
      </c>
      <c r="AJ263" s="162">
        <f>AH258*AH263-AH259*AG263</f>
        <v>11.327687092986421</v>
      </c>
      <c r="AK263" s="163"/>
    </row>
    <row r="264" spans="27:37" ht="12">
      <c r="AA264" s="161">
        <v>5</v>
      </c>
      <c r="AB264" s="15">
        <v>59</v>
      </c>
      <c r="AC264" s="15">
        <f>AC260*AA264/100</f>
        <v>7.537499999999999</v>
      </c>
      <c r="AD264" s="15">
        <f>AD260*AB264/100</f>
        <v>12.802999999999999</v>
      </c>
      <c r="AE264" s="15"/>
      <c r="AF264" s="15"/>
      <c r="AG264" s="15">
        <f>AC264-(AC269+AC268)/2</f>
        <v>-60.29999999999999</v>
      </c>
      <c r="AH264" s="15">
        <f>AD264-AH267</f>
        <v>1.9529999999999994</v>
      </c>
      <c r="AI264" s="162">
        <f>AH258*AG264+AH259*AH264</f>
        <v>-58.5951234995773</v>
      </c>
      <c r="AJ264" s="162">
        <f>AH258*AH264-AH259*AG264</f>
        <v>14.37065451081761</v>
      </c>
      <c r="AK264" s="163"/>
    </row>
    <row r="265" spans="27:37" ht="12">
      <c r="AA265" s="161">
        <v>10</v>
      </c>
      <c r="AB265" s="15">
        <v>79</v>
      </c>
      <c r="AC265" s="15">
        <f>AC260*AA265/100</f>
        <v>15.074999999999998</v>
      </c>
      <c r="AD265" s="15">
        <f>AD260*AB265/100</f>
        <v>17.143</v>
      </c>
      <c r="AE265" s="15"/>
      <c r="AF265" s="15"/>
      <c r="AG265" s="15">
        <f>AC265-(AC269+AC268)/2</f>
        <v>-52.762499999999996</v>
      </c>
      <c r="AH265" s="15">
        <f>AD265-AH267</f>
        <v>6.293000000000001</v>
      </c>
      <c r="AI265" s="162">
        <f>AH258*AG265+AH259*AH265</f>
        <v>-50.323514325875756</v>
      </c>
      <c r="AJ265" s="162">
        <f>AH258*AH265-AH259*AG265</f>
        <v>17.059518197867646</v>
      </c>
      <c r="AK265" s="163"/>
    </row>
    <row r="266" spans="27:37" ht="12">
      <c r="AA266" s="161">
        <v>20</v>
      </c>
      <c r="AB266" s="15">
        <v>95</v>
      </c>
      <c r="AC266" s="15">
        <f>AC260*AA266/100</f>
        <v>30.149999999999995</v>
      </c>
      <c r="AD266" s="15">
        <f>AD260*AB266/100</f>
        <v>20.615</v>
      </c>
      <c r="AE266" s="15"/>
      <c r="AF266" s="15"/>
      <c r="AG266" s="15">
        <f>AC266-(AC269+AC268)/2</f>
        <v>-37.6875</v>
      </c>
      <c r="AH266" s="15">
        <f>AD266-AH267</f>
        <v>9.764999999999999</v>
      </c>
      <c r="AI266" s="162">
        <f>AH258*AG266+AH259*AH266</f>
        <v>-34.856426140371134</v>
      </c>
      <c r="AJ266" s="162">
        <f>AH258*AH266-AH259*AG266</f>
        <v>17.341638849049193</v>
      </c>
      <c r="AK266" s="163"/>
    </row>
    <row r="267" spans="27:37" ht="12">
      <c r="AA267" s="161">
        <v>30</v>
      </c>
      <c r="AB267" s="15">
        <v>100</v>
      </c>
      <c r="AC267" s="15">
        <f>AC260*AA267/100</f>
        <v>45.224999999999994</v>
      </c>
      <c r="AD267" s="15">
        <f>AD260*AB267/100</f>
        <v>21.7</v>
      </c>
      <c r="AE267" s="15"/>
      <c r="AF267" s="15"/>
      <c r="AG267" s="15">
        <f>AC267-(AC269+AC268)/2</f>
        <v>-22.612499999999997</v>
      </c>
      <c r="AH267" s="15">
        <f>AD267/2</f>
        <v>10.85</v>
      </c>
      <c r="AI267" s="162">
        <f>AH258*AG267+AH259*AH267</f>
        <v>-19.882564279069967</v>
      </c>
      <c r="AJ267" s="162">
        <f>AH258*AH267-AH259*AG267</f>
        <v>15.288273085559759</v>
      </c>
      <c r="AK267" s="163"/>
    </row>
    <row r="268" spans="27:37" ht="12">
      <c r="AA268" s="161">
        <v>40</v>
      </c>
      <c r="AB268" s="15">
        <v>99</v>
      </c>
      <c r="AC268" s="15">
        <f>AC260*AA268/100</f>
        <v>60.29999999999999</v>
      </c>
      <c r="AD268" s="15">
        <f>AD260*AB268/100</f>
        <v>21.482999999999997</v>
      </c>
      <c r="AE268" s="15"/>
      <c r="AF268" s="15"/>
      <c r="AG268" s="15">
        <f>AC268-(AC269+AC268)/2</f>
        <v>-7.537500000000001</v>
      </c>
      <c r="AH268" s="15">
        <f>AD268-AH267</f>
        <v>10.632999999999997</v>
      </c>
      <c r="AI268" s="162">
        <f>AH258*AG268+AH259*AH268</f>
        <v>-5.1777349582434296</v>
      </c>
      <c r="AJ268" s="162">
        <f>AH258*AH268-AH259*AG268</f>
        <v>11.961005641340693</v>
      </c>
      <c r="AK268" s="163"/>
    </row>
    <row r="269" spans="27:37" ht="12">
      <c r="AA269" s="161">
        <v>50</v>
      </c>
      <c r="AB269" s="15">
        <v>95</v>
      </c>
      <c r="AC269" s="15">
        <f>AC260*AA269/100</f>
        <v>75.37499999999999</v>
      </c>
      <c r="AD269" s="15">
        <f>AD260*AB269/100</f>
        <v>20.615</v>
      </c>
      <c r="AE269" s="15"/>
      <c r="AF269" s="15"/>
      <c r="AG269" s="15">
        <f>AC269-(AC269+AC268)/2</f>
        <v>7.537499999999994</v>
      </c>
      <c r="AH269" s="15">
        <f>AD269-AH267</f>
        <v>9.764999999999999</v>
      </c>
      <c r="AI269" s="162">
        <f>AH258*AG269+AH259*AH269</f>
        <v>9.392578092345797</v>
      </c>
      <c r="AJ269" s="162">
        <f>AH258*AH269-AH259*AG269</f>
        <v>7.996787356756817</v>
      </c>
      <c r="AK269" s="163"/>
    </row>
    <row r="270" spans="27:37" ht="12">
      <c r="AA270" s="161">
        <v>60</v>
      </c>
      <c r="AB270" s="15">
        <v>87</v>
      </c>
      <c r="AC270" s="15">
        <f>AC260*AA270/100</f>
        <v>90.44999999999999</v>
      </c>
      <c r="AD270" s="15">
        <f>AD260*AB270/100</f>
        <v>18.878999999999998</v>
      </c>
      <c r="AE270" s="15"/>
      <c r="AF270" s="15"/>
      <c r="AG270" s="15">
        <f>AC270-(AC269+AC268)/2</f>
        <v>22.612499999999997</v>
      </c>
      <c r="AH270" s="15">
        <f>AD270-AH267</f>
        <v>8.028999999999998</v>
      </c>
      <c r="AI270" s="162">
        <f>AH258*AG270+AH259*AH270</f>
        <v>23.78353611595195</v>
      </c>
      <c r="AJ270" s="162">
        <f>AH258*AH270-AH259*AG270</f>
        <v>3.1833012850198523</v>
      </c>
      <c r="AK270" s="163"/>
    </row>
    <row r="271" spans="27:37" ht="12">
      <c r="AA271" s="161">
        <v>70</v>
      </c>
      <c r="AB271" s="15">
        <v>74</v>
      </c>
      <c r="AC271" s="15">
        <f>AC260*AA271/100</f>
        <v>105.52499999999998</v>
      </c>
      <c r="AD271" s="15">
        <f>AD260*AB271/100</f>
        <v>16.058</v>
      </c>
      <c r="AE271" s="15"/>
      <c r="AF271" s="15"/>
      <c r="AG271" s="15">
        <f>AC271-(AC269+AC268)/2</f>
        <v>37.687499999999986</v>
      </c>
      <c r="AH271" s="15">
        <f>AD271-AH267</f>
        <v>5.208</v>
      </c>
      <c r="AI271" s="162">
        <f>AH258*AG271+AH259*AH271</f>
        <v>37.95030035582924</v>
      </c>
      <c r="AJ271" s="162">
        <f>AH258*AH271-AH259*AG271</f>
        <v>-2.6917695206584646</v>
      </c>
      <c r="AK271" s="163"/>
    </row>
    <row r="272" spans="27:37" ht="12">
      <c r="AA272" s="161">
        <v>80</v>
      </c>
      <c r="AB272" s="15">
        <v>56</v>
      </c>
      <c r="AC272" s="15">
        <f>AC260*AA272/100</f>
        <v>120.59999999999998</v>
      </c>
      <c r="AD272" s="15">
        <f>AD260*AB272/100</f>
        <v>12.152000000000001</v>
      </c>
      <c r="AE272" s="15"/>
      <c r="AF272" s="15"/>
      <c r="AG272" s="15">
        <f>AC272-(AC269+AC268)/2</f>
        <v>52.76249999999999</v>
      </c>
      <c r="AH272" s="15">
        <f>AD272-AH267</f>
        <v>1.3020000000000014</v>
      </c>
      <c r="AI272" s="162">
        <f>AH258*AG272+AH259*AH272</f>
        <v>51.892870811977694</v>
      </c>
      <c r="AJ272" s="162">
        <f>AH258*AH272-AH259*AG272</f>
        <v>-9.628425060278142</v>
      </c>
      <c r="AK272" s="163"/>
    </row>
    <row r="273" spans="27:37" ht="12">
      <c r="AA273" s="161">
        <v>90</v>
      </c>
      <c r="AB273" s="15">
        <v>35</v>
      </c>
      <c r="AC273" s="15">
        <f>AC260*AA273/100</f>
        <v>135.67499999999998</v>
      </c>
      <c r="AD273" s="15">
        <f>AD260*AB273/100</f>
        <v>7.595</v>
      </c>
      <c r="AE273" s="15"/>
      <c r="AF273" s="15"/>
      <c r="AG273" s="15">
        <f>AC273-(AC269+AC268)/2</f>
        <v>67.83749999999999</v>
      </c>
      <c r="AH273" s="15">
        <f>AD273-AH267</f>
        <v>-3.255</v>
      </c>
      <c r="AI273" s="162">
        <f>AH258*AG273+AH259*AH273</f>
        <v>65.70092499788883</v>
      </c>
      <c r="AJ273" s="162">
        <f>AH258*AH273-AH259*AG273</f>
        <v>-17.202031440262633</v>
      </c>
      <c r="AK273" s="163"/>
    </row>
    <row r="274" spans="27:37" ht="12">
      <c r="AA274" s="161">
        <v>100</v>
      </c>
      <c r="AB274" s="15">
        <v>7</v>
      </c>
      <c r="AC274" s="15">
        <f>AC260*AA274/100</f>
        <v>150.74999999999997</v>
      </c>
      <c r="AD274" s="15">
        <f>AD260*AB274/100</f>
        <v>1.5190000000000001</v>
      </c>
      <c r="AE274" s="15"/>
      <c r="AF274" s="15"/>
      <c r="AG274" s="15">
        <f>AC274-(AC269+AC268)/2</f>
        <v>82.91249999999998</v>
      </c>
      <c r="AH274" s="15">
        <f>AD274-AH267</f>
        <v>-9.331</v>
      </c>
      <c r="AI274" s="162">
        <f>AH258*AG274+AH259*AH274</f>
        <v>79.19510788657959</v>
      </c>
      <c r="AJ274" s="162">
        <f>AH258*AH274-AH259*AG274</f>
        <v>-26.261856447765023</v>
      </c>
      <c r="AK274" s="163"/>
    </row>
    <row r="275" spans="27:37" ht="12">
      <c r="AA275" s="161">
        <v>100</v>
      </c>
      <c r="AB275" s="15"/>
      <c r="AC275" s="15">
        <f>AC260*AA275/100</f>
        <v>150.74999999999997</v>
      </c>
      <c r="AD275" s="15">
        <v>0</v>
      </c>
      <c r="AE275" s="15"/>
      <c r="AF275" s="15"/>
      <c r="AG275" s="15">
        <f>AC275-(AC269+AC268)/2</f>
        <v>82.91249999999998</v>
      </c>
      <c r="AH275" s="15">
        <f>AD275-AH267</f>
        <v>-10.85</v>
      </c>
      <c r="AI275" s="162">
        <f>AH258*AG275+AH259*AH275</f>
        <v>78.88123658935919</v>
      </c>
      <c r="AJ275" s="162">
        <f>AH258*AH275-AH259*AG275</f>
        <v>-27.748075075282923</v>
      </c>
      <c r="AK275" s="163"/>
    </row>
    <row r="276" spans="27:37" ht="12">
      <c r="AA276" s="161"/>
      <c r="AB276" s="15"/>
      <c r="AC276" s="15"/>
      <c r="AD276" s="15"/>
      <c r="AE276" s="15"/>
      <c r="AF276" s="15"/>
      <c r="AG276" s="15">
        <f>AG261</f>
        <v>-67.83749999999999</v>
      </c>
      <c r="AH276" s="15">
        <f>AD261-AH267</f>
        <v>-10.85</v>
      </c>
      <c r="AI276" s="162">
        <f>AH258*AG276+AH259*AH276</f>
        <v>-68.61544418636389</v>
      </c>
      <c r="AJ276" s="162">
        <f>AH258*AH276-AH259*AG276</f>
        <v>3.4014298990249934</v>
      </c>
      <c r="AK276" s="163"/>
    </row>
    <row r="277" spans="27:37" ht="12">
      <c r="AA277" s="161"/>
      <c r="AB277" s="15"/>
      <c r="AC277" s="15"/>
      <c r="AD277" s="15"/>
      <c r="AE277" s="15"/>
      <c r="AF277" s="15"/>
      <c r="AG277" s="15"/>
      <c r="AH277" s="15"/>
      <c r="AI277" s="162"/>
      <c r="AJ277" s="162"/>
      <c r="AK277" s="163"/>
    </row>
    <row r="278" spans="27:37" ht="12">
      <c r="AA278" s="161"/>
      <c r="AB278" s="15"/>
      <c r="AC278" s="15"/>
      <c r="AD278" s="15"/>
      <c r="AE278" s="15"/>
      <c r="AF278" s="15"/>
      <c r="AG278" s="15"/>
      <c r="AH278" s="15"/>
      <c r="AI278" s="162"/>
      <c r="AJ278" s="162"/>
      <c r="AK278" s="163"/>
    </row>
    <row r="279" spans="27:37" ht="12">
      <c r="AA279" s="161"/>
      <c r="AB279" s="15"/>
      <c r="AC279" s="15"/>
      <c r="AD279" s="15"/>
      <c r="AE279" s="51" t="s">
        <v>0</v>
      </c>
      <c r="AF279" s="164">
        <f>Q44</f>
        <v>560</v>
      </c>
      <c r="AG279" s="15"/>
      <c r="AH279" s="15"/>
      <c r="AI279" s="162"/>
      <c r="AJ279" s="162"/>
      <c r="AK279" s="163"/>
    </row>
    <row r="280" spans="27:37" ht="12">
      <c r="AA280" s="161"/>
      <c r="AB280" s="15" t="s">
        <v>10</v>
      </c>
      <c r="AC280" s="15" t="s">
        <v>20</v>
      </c>
      <c r="AD280" s="15"/>
      <c r="AE280" s="15" t="s">
        <v>11</v>
      </c>
      <c r="AF280" s="176">
        <f>F44</f>
        <v>9.400290597525741</v>
      </c>
      <c r="AG280" s="15" t="s">
        <v>4</v>
      </c>
      <c r="AH280" s="177">
        <f>L44</f>
        <v>0.986573306915474</v>
      </c>
      <c r="AI280" s="162"/>
      <c r="AJ280" s="162"/>
      <c r="AK280" s="163"/>
    </row>
    <row r="281" spans="27:37" ht="12">
      <c r="AA281" s="161"/>
      <c r="AB281" s="15"/>
      <c r="AC281" s="15" t="s">
        <v>22</v>
      </c>
      <c r="AD281" s="15"/>
      <c r="AE281" s="15"/>
      <c r="AF281" s="15"/>
      <c r="AG281" s="15" t="s">
        <v>8</v>
      </c>
      <c r="AH281" s="178">
        <f>T44</f>
        <v>0.1633190438432274</v>
      </c>
      <c r="AI281" s="162"/>
      <c r="AJ281" s="162"/>
      <c r="AK281" s="163"/>
    </row>
    <row r="282" spans="27:37" ht="12">
      <c r="AA282" s="161" t="s">
        <v>12</v>
      </c>
      <c r="AB282" s="15" t="s">
        <v>13</v>
      </c>
      <c r="AC282" s="175">
        <f>N44</f>
        <v>149.25</v>
      </c>
      <c r="AD282" s="15">
        <f>R44</f>
        <v>18.8</v>
      </c>
      <c r="AE282" s="15"/>
      <c r="AF282" s="15"/>
      <c r="AG282" s="15" t="s">
        <v>14</v>
      </c>
      <c r="AH282" s="15" t="s">
        <v>15</v>
      </c>
      <c r="AI282" s="162" t="s">
        <v>16</v>
      </c>
      <c r="AJ282" s="162" t="s">
        <v>17</v>
      </c>
      <c r="AK282" s="163"/>
    </row>
    <row r="283" spans="27:37" ht="12">
      <c r="AA283" s="161"/>
      <c r="AB283" s="15"/>
      <c r="AC283" s="15"/>
      <c r="AD283" s="15">
        <v>0</v>
      </c>
      <c r="AE283" s="15"/>
      <c r="AF283" s="15"/>
      <c r="AG283" s="15">
        <f>AC283-(AC291+AC290)/2</f>
        <v>-67.1625</v>
      </c>
      <c r="AH283" s="15">
        <f>AD283-AH289</f>
        <v>-9.4</v>
      </c>
      <c r="AI283" s="162">
        <f>AH280*AG283+AH281*AH283</f>
        <v>-67.79592873783686</v>
      </c>
      <c r="AJ283" s="162">
        <f>AH280*AH283-AH281*AG283</f>
        <v>1.6951261971153038</v>
      </c>
      <c r="AK283" s="163"/>
    </row>
    <row r="284" spans="27:37" ht="12">
      <c r="AA284" s="161">
        <v>0</v>
      </c>
      <c r="AB284" s="15">
        <v>10</v>
      </c>
      <c r="AC284" s="15">
        <f>AC282*AA284/100</f>
        <v>0</v>
      </c>
      <c r="AD284" s="15">
        <f>AD282*AB284/100</f>
        <v>1.88</v>
      </c>
      <c r="AE284" s="15"/>
      <c r="AF284" s="15"/>
      <c r="AG284" s="15">
        <f>AC284-(AC291+AC290)/2</f>
        <v>-67.1625</v>
      </c>
      <c r="AH284" s="15">
        <f>AD284-AH289</f>
        <v>-7.5200000000000005</v>
      </c>
      <c r="AI284" s="162">
        <f>AH280*AG284+AH281*AH284</f>
        <v>-67.4888889354116</v>
      </c>
      <c r="AJ284" s="162">
        <f>AH280*AH284-AH281*AG284</f>
        <v>3.5498840141163948</v>
      </c>
      <c r="AK284" s="163"/>
    </row>
    <row r="285" spans="27:37" ht="12">
      <c r="AA285" s="161">
        <v>2.5</v>
      </c>
      <c r="AB285" s="15">
        <v>41</v>
      </c>
      <c r="AC285" s="15">
        <f>AC282*AA285/100</f>
        <v>3.73125</v>
      </c>
      <c r="AD285" s="15">
        <f>AD282*AB285/100</f>
        <v>7.708000000000001</v>
      </c>
      <c r="AE285" s="15"/>
      <c r="AF285" s="15"/>
      <c r="AG285" s="15">
        <f>AC285-(AC291+AC290)/2</f>
        <v>-63.43124999999999</v>
      </c>
      <c r="AH285" s="15">
        <f>AD285-AH289</f>
        <v>-1.6919999999999993</v>
      </c>
      <c r="AI285" s="162">
        <f>AH280*AG285+AH281*AH285</f>
        <v>-62.855913896464884</v>
      </c>
      <c r="AJ285" s="162">
        <f>AH280*AH285-AH281*AG285</f>
        <v>8.690249064479737</v>
      </c>
      <c r="AK285" s="163"/>
    </row>
    <row r="286" spans="27:37" ht="12">
      <c r="AA286" s="161">
        <v>5</v>
      </c>
      <c r="AB286" s="15">
        <v>59</v>
      </c>
      <c r="AC286" s="15">
        <f>AC282*AA286/100</f>
        <v>7.4625</v>
      </c>
      <c r="AD286" s="15">
        <f>AD282*AB286/100</f>
        <v>11.092</v>
      </c>
      <c r="AE286" s="15"/>
      <c r="AF286" s="15"/>
      <c r="AG286" s="15">
        <f>AC286-(AC291+AC290)/2</f>
        <v>-59.699999999999996</v>
      </c>
      <c r="AH286" s="15">
        <f>AD286-AH289</f>
        <v>1.6920000000000002</v>
      </c>
      <c r="AI286" s="162">
        <f>AH280*AG286+AH281*AH286</f>
        <v>-58.62209060067105</v>
      </c>
      <c r="AJ286" s="162">
        <f>AH280*AH286-AH281*AG286</f>
        <v>11.419428952741658</v>
      </c>
      <c r="AK286" s="163"/>
    </row>
    <row r="287" spans="27:37" ht="12">
      <c r="AA287" s="161">
        <v>10</v>
      </c>
      <c r="AB287" s="15">
        <v>79</v>
      </c>
      <c r="AC287" s="15">
        <f>AC282*AA287/100</f>
        <v>14.925</v>
      </c>
      <c r="AD287" s="15">
        <f>AD282*AB287/100</f>
        <v>14.852</v>
      </c>
      <c r="AE287" s="15"/>
      <c r="AF287" s="15"/>
      <c r="AG287" s="15">
        <f>AC287-(AC291+AC290)/2</f>
        <v>-52.2375</v>
      </c>
      <c r="AH287" s="15">
        <f>AD287-AH289</f>
        <v>5.452</v>
      </c>
      <c r="AI287" s="162">
        <f>AH280*AG287+AH281*AH287</f>
        <v>-50.64570769296379</v>
      </c>
      <c r="AJ287" s="162">
        <f>AH280*AH287-AH281*AG287</f>
        <v>13.910176222063754</v>
      </c>
      <c r="AK287" s="163"/>
    </row>
    <row r="288" spans="27:37" ht="12">
      <c r="AA288" s="161">
        <v>20</v>
      </c>
      <c r="AB288" s="15">
        <v>95</v>
      </c>
      <c r="AC288" s="15">
        <f>AC282*AA288/100</f>
        <v>29.85</v>
      </c>
      <c r="AD288" s="15">
        <f>AD282*AB288/100</f>
        <v>17.86</v>
      </c>
      <c r="AE288" s="15"/>
      <c r="AF288" s="15"/>
      <c r="AG288" s="15">
        <f>AC288-(AC291+AC290)/2</f>
        <v>-37.31249999999999</v>
      </c>
      <c r="AH288" s="15">
        <f>AD288-AH289</f>
        <v>8.459999999999999</v>
      </c>
      <c r="AI288" s="162">
        <f>AH280*AG288+AH281*AH288</f>
        <v>-35.429837403369916</v>
      </c>
      <c r="AJ288" s="162">
        <f>AH280*AH288-AH281*AG288</f>
        <v>14.44025199990533</v>
      </c>
      <c r="AK288" s="163"/>
    </row>
    <row r="289" spans="27:37" ht="12">
      <c r="AA289" s="161">
        <v>30</v>
      </c>
      <c r="AB289" s="15">
        <v>100</v>
      </c>
      <c r="AC289" s="15">
        <f>AC282*AA289/100</f>
        <v>44.775</v>
      </c>
      <c r="AD289" s="15">
        <f>AD282*AB289/100</f>
        <v>18.8</v>
      </c>
      <c r="AE289" s="15"/>
      <c r="AF289" s="15"/>
      <c r="AG289" s="15">
        <f>AC289-(AC291+AC290)/2</f>
        <v>-22.387499999999996</v>
      </c>
      <c r="AH289" s="15">
        <f>AD289/2</f>
        <v>9.4</v>
      </c>
      <c r="AI289" s="162">
        <f>AH280*AG289+AH281*AH289</f>
        <v>-20.551710896443833</v>
      </c>
      <c r="AJ289" s="162">
        <f>AH280*AH289-AH281*AG289</f>
        <v>12.930094179045708</v>
      </c>
      <c r="AK289" s="163"/>
    </row>
    <row r="290" spans="27:37" ht="12">
      <c r="AA290" s="161">
        <v>40</v>
      </c>
      <c r="AB290" s="15">
        <v>99</v>
      </c>
      <c r="AC290" s="15">
        <f>AC282*AA290/100</f>
        <v>59.7</v>
      </c>
      <c r="AD290" s="15">
        <f>AD282*AB290/100</f>
        <v>18.612000000000002</v>
      </c>
      <c r="AE290" s="15"/>
      <c r="AF290" s="15"/>
      <c r="AG290" s="15">
        <f>AC290-(AC291+AC290)/2</f>
        <v>-7.4624999999999915</v>
      </c>
      <c r="AH290" s="15">
        <f>AD290-AH289</f>
        <v>9.212000000000002</v>
      </c>
      <c r="AI290" s="162">
        <f>AH280*AG290+AH281*AH290</f>
        <v>-5.857808270972905</v>
      </c>
      <c r="AJ290" s="162">
        <f>AH280*AH290-AH281*AG290</f>
        <v>10.30708166798543</v>
      </c>
      <c r="AK290" s="163"/>
    </row>
    <row r="291" spans="27:37" ht="12">
      <c r="AA291" s="161">
        <v>50</v>
      </c>
      <c r="AB291" s="15">
        <v>95</v>
      </c>
      <c r="AC291" s="15">
        <f>AC282*AA291/100</f>
        <v>74.625</v>
      </c>
      <c r="AD291" s="15">
        <f>AD282*AB291/100</f>
        <v>17.86</v>
      </c>
      <c r="AE291" s="15"/>
      <c r="AF291" s="15"/>
      <c r="AG291" s="15">
        <f>AC291-(AC291+AC290)/2</f>
        <v>7.462500000000006</v>
      </c>
      <c r="AH291" s="15">
        <f>AD291-AH289</f>
        <v>8.459999999999999</v>
      </c>
      <c r="AI291" s="162">
        <f>AH280*AG291+AH281*AH291</f>
        <v>8.743982413770434</v>
      </c>
      <c r="AJ291" s="162">
        <f>AH280*AH291-AH281*AG291</f>
        <v>7.127641811824824</v>
      </c>
      <c r="AK291" s="163"/>
    </row>
    <row r="292" spans="27:37" ht="12">
      <c r="AA292" s="161">
        <v>60</v>
      </c>
      <c r="AB292" s="15">
        <v>87</v>
      </c>
      <c r="AC292" s="15">
        <f>AC282*AA292/100</f>
        <v>89.55</v>
      </c>
      <c r="AD292" s="15">
        <f>AD282*AB292/100</f>
        <v>16.356</v>
      </c>
      <c r="AE292" s="15"/>
      <c r="AF292" s="15"/>
      <c r="AG292" s="15">
        <f>AC292-(AC291+AC290)/2</f>
        <v>22.387500000000003</v>
      </c>
      <c r="AH292" s="15">
        <f>AD292-AH289</f>
        <v>6.956000000000001</v>
      </c>
      <c r="AI292" s="162">
        <f>AH280*AG292+AH281*AH292</f>
        <v>23.222957177543666</v>
      </c>
      <c r="AJ292" s="162">
        <f>AH280*AH292-AH281*AG292</f>
        <v>3.2062988288637846</v>
      </c>
      <c r="AK292" s="163"/>
    </row>
    <row r="293" spans="27:37" ht="12">
      <c r="AA293" s="161">
        <v>70</v>
      </c>
      <c r="AB293" s="15">
        <v>74</v>
      </c>
      <c r="AC293" s="15">
        <f>AC282*AA293/100</f>
        <v>104.475</v>
      </c>
      <c r="AD293" s="15">
        <f>AD282*AB293/100</f>
        <v>13.912</v>
      </c>
      <c r="AE293" s="15"/>
      <c r="AF293" s="15"/>
      <c r="AG293" s="15">
        <f>AC293-(AC291+AC290)/2</f>
        <v>37.3125</v>
      </c>
      <c r="AH293" s="15">
        <f>AD293-AH289</f>
        <v>4.5120000000000005</v>
      </c>
      <c r="AI293" s="162">
        <f>AH280*AG293+AH281*AH293</f>
        <v>37.54841204010427</v>
      </c>
      <c r="AJ293" s="162">
        <f>AH280*AH293-AH281*AG293</f>
        <v>-1.6424230625978042</v>
      </c>
      <c r="AK293" s="163"/>
    </row>
    <row r="294" spans="27:37" ht="12">
      <c r="AA294" s="161">
        <v>80</v>
      </c>
      <c r="AB294" s="15">
        <v>56</v>
      </c>
      <c r="AC294" s="15">
        <f>AC282*AA294/100</f>
        <v>119.4</v>
      </c>
      <c r="AD294" s="15">
        <f>AD282*AB294/100</f>
        <v>10.527999999999999</v>
      </c>
      <c r="AE294" s="15"/>
      <c r="AF294" s="15"/>
      <c r="AG294" s="15">
        <f>AC294-(AC291+AC290)/2</f>
        <v>52.23750000000001</v>
      </c>
      <c r="AH294" s="15">
        <f>AD294-AH289</f>
        <v>1.1279999999999983</v>
      </c>
      <c r="AI294" s="162">
        <f>AH280*AG294+AH281*AH294</f>
        <v>51.72034700145224</v>
      </c>
      <c r="AJ294" s="162">
        <f>AH280*AH294-AH281*AG294</f>
        <v>-7.41852386255994</v>
      </c>
      <c r="AK294" s="163"/>
    </row>
    <row r="295" spans="27:37" ht="12">
      <c r="AA295" s="161">
        <v>90</v>
      </c>
      <c r="AB295" s="15">
        <v>35</v>
      </c>
      <c r="AC295" s="15">
        <f>AC282*AA295/100</f>
        <v>134.325</v>
      </c>
      <c r="AD295" s="15">
        <f>AD282*AB295/100</f>
        <v>6.58</v>
      </c>
      <c r="AE295" s="15"/>
      <c r="AF295" s="15"/>
      <c r="AG295" s="15">
        <f>AC295-(AC291+AC290)/2</f>
        <v>67.1625</v>
      </c>
      <c r="AH295" s="15">
        <f>AD295-AH289</f>
        <v>-2.8200000000000003</v>
      </c>
      <c r="AI295" s="162">
        <f>AH280*AG295+AH281*AH295</f>
        <v>65.80017002207262</v>
      </c>
      <c r="AJ295" s="162">
        <f>AH280*AH295-AH281*AG295</f>
        <v>-13.751052007622397</v>
      </c>
      <c r="AK295" s="163"/>
    </row>
    <row r="296" spans="27:37" ht="12">
      <c r="AA296" s="161">
        <v>100</v>
      </c>
      <c r="AB296" s="15">
        <v>7</v>
      </c>
      <c r="AC296" s="15">
        <f>AC282*AA296/100</f>
        <v>149.25</v>
      </c>
      <c r="AD296" s="15">
        <f>AD282*AB296/100</f>
        <v>1.3159999999999998</v>
      </c>
      <c r="AE296" s="15"/>
      <c r="AF296" s="15"/>
      <c r="AG296" s="15">
        <f>AC296-(AC291+AC290)/2</f>
        <v>82.0875</v>
      </c>
      <c r="AH296" s="15">
        <f>AD296-AH289</f>
        <v>-8.084</v>
      </c>
      <c r="AI296" s="162">
        <f>AH280*AG296+AH281*AH296</f>
        <v>79.66506518099533</v>
      </c>
      <c r="AJ296" s="162">
        <f>AH280*AH296-AH281*AG296</f>
        <v>-21.381910624585622</v>
      </c>
      <c r="AK296" s="163"/>
    </row>
    <row r="297" spans="27:37" ht="12">
      <c r="AA297" s="161">
        <v>100</v>
      </c>
      <c r="AB297" s="15"/>
      <c r="AC297" s="15">
        <f>AC282*AA297/100</f>
        <v>149.25</v>
      </c>
      <c r="AD297" s="15">
        <v>0</v>
      </c>
      <c r="AE297" s="15"/>
      <c r="AF297" s="15"/>
      <c r="AG297" s="15">
        <f>AC297-(AC291+AC290)/2</f>
        <v>82.0875</v>
      </c>
      <c r="AH297" s="15">
        <f>AD297-AH289</f>
        <v>-9.4</v>
      </c>
      <c r="AI297" s="162">
        <f>AH280*AG297+AH281*AH297</f>
        <v>79.45013731929764</v>
      </c>
      <c r="AJ297" s="162">
        <f>AH280*AH297-AH281*AG297</f>
        <v>-22.680241096486384</v>
      </c>
      <c r="AK297" s="163"/>
    </row>
    <row r="298" spans="27:37" ht="12">
      <c r="AA298" s="161"/>
      <c r="AB298" s="15"/>
      <c r="AC298" s="15"/>
      <c r="AD298" s="15"/>
      <c r="AE298" s="15"/>
      <c r="AF298" s="15"/>
      <c r="AG298" s="15">
        <f>AG283</f>
        <v>-67.1625</v>
      </c>
      <c r="AH298" s="15">
        <f>AD283-AH289</f>
        <v>-9.4</v>
      </c>
      <c r="AI298" s="162">
        <f>AH280*AG298+AH281*AH298</f>
        <v>-67.79592873783686</v>
      </c>
      <c r="AJ298" s="162">
        <f>AH280*AH298-AH281*AG298</f>
        <v>1.6951261971153038</v>
      </c>
      <c r="AK298" s="163"/>
    </row>
    <row r="299" spans="27:37" ht="12">
      <c r="AA299" s="161"/>
      <c r="AB299" s="15"/>
      <c r="AC299" s="15"/>
      <c r="AD299" s="15"/>
      <c r="AE299" s="15"/>
      <c r="AF299" s="15"/>
      <c r="AG299" s="15"/>
      <c r="AH299" s="15"/>
      <c r="AI299" s="162"/>
      <c r="AJ299" s="162"/>
      <c r="AK299" s="163"/>
    </row>
    <row r="300" spans="27:37" ht="12">
      <c r="AA300" s="161"/>
      <c r="AB300" s="15"/>
      <c r="AC300" s="15"/>
      <c r="AD300" s="15"/>
      <c r="AE300" s="15"/>
      <c r="AF300" s="15"/>
      <c r="AG300" s="15"/>
      <c r="AH300" s="15"/>
      <c r="AI300" s="162"/>
      <c r="AJ300" s="162"/>
      <c r="AK300" s="163"/>
    </row>
    <row r="301" spans="27:37" ht="12">
      <c r="AA301" s="161"/>
      <c r="AB301" s="15"/>
      <c r="AC301" s="15"/>
      <c r="AD301" s="15"/>
      <c r="AE301" s="15"/>
      <c r="AF301" s="15"/>
      <c r="AG301" s="15"/>
      <c r="AH301" s="15"/>
      <c r="AI301" s="162"/>
      <c r="AJ301" s="162"/>
      <c r="AK301" s="163"/>
    </row>
    <row r="302" spans="27:37" ht="12">
      <c r="AA302" s="161"/>
      <c r="AB302" s="15"/>
      <c r="AC302" s="15"/>
      <c r="AD302" s="15"/>
      <c r="AE302" s="15"/>
      <c r="AF302" s="15"/>
      <c r="AG302" s="15"/>
      <c r="AH302" s="15"/>
      <c r="AI302" s="162"/>
      <c r="AJ302" s="162"/>
      <c r="AK302" s="163"/>
    </row>
    <row r="303" spans="27:37" ht="12">
      <c r="AA303" s="161"/>
      <c r="AB303" s="15"/>
      <c r="AC303" s="15"/>
      <c r="AD303" s="15"/>
      <c r="AE303" s="51" t="s">
        <v>0</v>
      </c>
      <c r="AF303" s="164">
        <f>Q45</f>
        <v>630</v>
      </c>
      <c r="AG303" s="15"/>
      <c r="AH303" s="15"/>
      <c r="AI303" s="162"/>
      <c r="AJ303" s="162"/>
      <c r="AK303" s="163"/>
    </row>
    <row r="304" spans="27:37" ht="12">
      <c r="AA304" s="161"/>
      <c r="AB304" s="15" t="s">
        <v>10</v>
      </c>
      <c r="AC304" s="15" t="s">
        <v>20</v>
      </c>
      <c r="AD304" s="15"/>
      <c r="AE304" s="15" t="s">
        <v>11</v>
      </c>
      <c r="AF304" s="176">
        <f>F45</f>
        <v>7.61240133653626</v>
      </c>
      <c r="AG304" s="15" t="s">
        <v>4</v>
      </c>
      <c r="AH304" s="177">
        <f>L45</f>
        <v>0.9911881872293106</v>
      </c>
      <c r="AI304" s="162"/>
      <c r="AJ304" s="162"/>
      <c r="AK304" s="163"/>
    </row>
    <row r="305" spans="27:37" ht="12">
      <c r="AA305" s="161"/>
      <c r="AB305" s="15"/>
      <c r="AC305" s="15" t="s">
        <v>22</v>
      </c>
      <c r="AD305" s="15"/>
      <c r="AE305" s="15"/>
      <c r="AF305" s="15"/>
      <c r="AG305" s="15" t="s">
        <v>8</v>
      </c>
      <c r="AH305" s="178">
        <f>T45</f>
        <v>0.13246123016593667</v>
      </c>
      <c r="AI305" s="162"/>
      <c r="AJ305" s="162"/>
      <c r="AK305" s="163"/>
    </row>
    <row r="306" spans="27:37" ht="12">
      <c r="AA306" s="161" t="s">
        <v>12</v>
      </c>
      <c r="AB306" s="15" t="s">
        <v>13</v>
      </c>
      <c r="AC306" s="175">
        <f>N45</f>
        <v>148.5</v>
      </c>
      <c r="AD306" s="15">
        <f>R45</f>
        <v>15.9</v>
      </c>
      <c r="AE306" s="15"/>
      <c r="AF306" s="15"/>
      <c r="AG306" s="15" t="s">
        <v>14</v>
      </c>
      <c r="AH306" s="15" t="s">
        <v>15</v>
      </c>
      <c r="AI306" s="162" t="s">
        <v>16</v>
      </c>
      <c r="AJ306" s="162" t="s">
        <v>17</v>
      </c>
      <c r="AK306" s="163"/>
    </row>
    <row r="307" spans="27:37" ht="12">
      <c r="AA307" s="161"/>
      <c r="AB307" s="15"/>
      <c r="AC307" s="15"/>
      <c r="AD307" s="15">
        <v>0</v>
      </c>
      <c r="AE307" s="15"/>
      <c r="AF307" s="15"/>
      <c r="AG307" s="15">
        <f>AC307-(AC315+AC314)/2</f>
        <v>-66.825</v>
      </c>
      <c r="AH307" s="15">
        <f>AD307-AH313</f>
        <v>-7.95</v>
      </c>
      <c r="AI307" s="162">
        <f>AH304*AG307+AH305*AH307</f>
        <v>-67.28921739141788</v>
      </c>
      <c r="AJ307" s="162">
        <f>AH304*AH307-AH305*AG307</f>
        <v>0.9717756173656991</v>
      </c>
      <c r="AK307" s="163"/>
    </row>
    <row r="308" spans="27:37" ht="12">
      <c r="AA308" s="161">
        <v>0</v>
      </c>
      <c r="AB308" s="15">
        <v>10</v>
      </c>
      <c r="AC308" s="15">
        <f>AC306*AA308/100</f>
        <v>0</v>
      </c>
      <c r="AD308" s="15">
        <f>AD306*AB308/100</f>
        <v>1.59</v>
      </c>
      <c r="AE308" s="15"/>
      <c r="AF308" s="15"/>
      <c r="AG308" s="15">
        <f>AC308-(AC315+AC314)/2</f>
        <v>-66.825</v>
      </c>
      <c r="AH308" s="15">
        <f>AD308-AH313</f>
        <v>-6.36</v>
      </c>
      <c r="AI308" s="162">
        <f>AH304*AG308+AH305*AH308</f>
        <v>-67.07860403545405</v>
      </c>
      <c r="AJ308" s="162">
        <f>AH304*AH308-AH305*AG308</f>
        <v>2.5477648350603026</v>
      </c>
      <c r="AK308" s="163"/>
    </row>
    <row r="309" spans="27:37" ht="12">
      <c r="AA309" s="161">
        <v>2.5</v>
      </c>
      <c r="AB309" s="15">
        <v>41</v>
      </c>
      <c r="AC309" s="15">
        <f>AC306*AA309/100</f>
        <v>3.7125</v>
      </c>
      <c r="AD309" s="15">
        <f>AD306*AB309/100</f>
        <v>6.519</v>
      </c>
      <c r="AE309" s="15"/>
      <c r="AF309" s="15"/>
      <c r="AG309" s="15">
        <f>AC309-(AC315+AC314)/2</f>
        <v>-63.112500000000004</v>
      </c>
      <c r="AH309" s="15">
        <f>AD309-AH313</f>
        <v>-1.431</v>
      </c>
      <c r="AI309" s="162">
        <f>AH304*AG309+AH305*AH309</f>
        <v>-62.74591648687733</v>
      </c>
      <c r="AJ309" s="162">
        <f>AH304*AH309-AH305*AG309</f>
        <v>6.941569092922536</v>
      </c>
      <c r="AK309" s="163"/>
    </row>
    <row r="310" spans="27:37" ht="12">
      <c r="AA310" s="161">
        <v>5</v>
      </c>
      <c r="AB310" s="15">
        <v>59</v>
      </c>
      <c r="AC310" s="15">
        <f>AC306*AA310/100</f>
        <v>7.425</v>
      </c>
      <c r="AD310" s="15">
        <f>AD306*AB310/100</f>
        <v>9.381</v>
      </c>
      <c r="AE310" s="15"/>
      <c r="AF310" s="15"/>
      <c r="AG310" s="15">
        <f>AC310-(AC315+AC314)/2</f>
        <v>-59.400000000000006</v>
      </c>
      <c r="AH310" s="15">
        <f>AD310-AH313</f>
        <v>1.431</v>
      </c>
      <c r="AI310" s="162">
        <f>AH304*AG310+AH305*AH310</f>
        <v>-58.68702630105359</v>
      </c>
      <c r="AJ310" s="162">
        <f>AH304*AH310-AH305*AG310</f>
        <v>9.286587367781781</v>
      </c>
      <c r="AK310" s="163"/>
    </row>
    <row r="311" spans="27:37" ht="12">
      <c r="AA311" s="161">
        <v>10</v>
      </c>
      <c r="AB311" s="15">
        <v>79</v>
      </c>
      <c r="AC311" s="15">
        <f>AC306*AA311/100</f>
        <v>14.85</v>
      </c>
      <c r="AD311" s="15">
        <f>AD306*AB311/100</f>
        <v>12.561000000000002</v>
      </c>
      <c r="AE311" s="15"/>
      <c r="AF311" s="15"/>
      <c r="AG311" s="15">
        <f>AC311-(AC315+AC314)/2</f>
        <v>-51.975</v>
      </c>
      <c r="AH311" s="15">
        <f>AD311-AH313</f>
        <v>4.6110000000000015</v>
      </c>
      <c r="AI311" s="162">
        <f>AH304*AG311+AH305*AH311</f>
        <v>-50.90622729894829</v>
      </c>
      <c r="AJ311" s="162">
        <f>AH304*AH311-AH305*AG311</f>
        <v>11.45504116918891</v>
      </c>
      <c r="AK311" s="163"/>
    </row>
    <row r="312" spans="27:37" ht="12">
      <c r="AA312" s="161">
        <v>20</v>
      </c>
      <c r="AB312" s="15">
        <v>95</v>
      </c>
      <c r="AC312" s="15">
        <f>AC306*AA312/100</f>
        <v>29.7</v>
      </c>
      <c r="AD312" s="15">
        <f>AD306*AB312/100</f>
        <v>15.105</v>
      </c>
      <c r="AE312" s="15"/>
      <c r="AF312" s="15"/>
      <c r="AG312" s="15">
        <f>AC312-(AC315+AC314)/2</f>
        <v>-37.125</v>
      </c>
      <c r="AH312" s="15">
        <f>AD312-AH313</f>
        <v>7.155</v>
      </c>
      <c r="AI312" s="162">
        <f>AH304*AG312+AH305*AH312</f>
        <v>-35.85010134905088</v>
      </c>
      <c r="AJ312" s="162">
        <f>AH304*AH312-AH305*AG312</f>
        <v>12.009574649536116</v>
      </c>
      <c r="AK312" s="163"/>
    </row>
    <row r="313" spans="27:37" ht="12">
      <c r="AA313" s="161">
        <v>30</v>
      </c>
      <c r="AB313" s="15">
        <v>100</v>
      </c>
      <c r="AC313" s="15">
        <f>AC306*AA313/100</f>
        <v>44.55</v>
      </c>
      <c r="AD313" s="15">
        <f>AD306*AB313/100</f>
        <v>15.9</v>
      </c>
      <c r="AE313" s="15"/>
      <c r="AF313" s="15"/>
      <c r="AG313" s="15">
        <f>AC313-(AC315+AC314)/2</f>
        <v>-22.275000000000006</v>
      </c>
      <c r="AH313" s="15">
        <f>AD313/2</f>
        <v>7.95</v>
      </c>
      <c r="AI313" s="162">
        <f>AH304*AG313+AH305*AH313</f>
        <v>-21.0256500907137</v>
      </c>
      <c r="AJ313" s="162">
        <f>AH304*AH313-AH305*AG313</f>
        <v>10.830519990419258</v>
      </c>
      <c r="AK313" s="163"/>
    </row>
    <row r="314" spans="27:37" ht="12">
      <c r="AA314" s="161">
        <v>40</v>
      </c>
      <c r="AB314" s="15">
        <v>99</v>
      </c>
      <c r="AC314" s="15">
        <f>AC306*AA314/100</f>
        <v>59.4</v>
      </c>
      <c r="AD314" s="15">
        <f>AD306*AB314/100</f>
        <v>15.741000000000001</v>
      </c>
      <c r="AE314" s="15"/>
      <c r="AF314" s="15"/>
      <c r="AG314" s="15">
        <f>AC314-(AC315+AC314)/2</f>
        <v>-7.425000000000004</v>
      </c>
      <c r="AH314" s="15">
        <f>AD314-AH313</f>
        <v>7.791000000000001</v>
      </c>
      <c r="AI314" s="162">
        <f>AH304*AG314+AH305*AH314</f>
        <v>-6.327566845954822</v>
      </c>
      <c r="AJ314" s="162">
        <f>AH304*AH314-AH305*AG314</f>
        <v>8.70587180068564</v>
      </c>
      <c r="AK314" s="163"/>
    </row>
    <row r="315" spans="27:37" ht="12">
      <c r="AA315" s="161">
        <v>50</v>
      </c>
      <c r="AB315" s="15">
        <v>95</v>
      </c>
      <c r="AC315" s="15">
        <f>AC306*AA315/100</f>
        <v>74.25</v>
      </c>
      <c r="AD315" s="15">
        <f>AD306*AB315/100</f>
        <v>15.105</v>
      </c>
      <c r="AE315" s="15"/>
      <c r="AF315" s="15"/>
      <c r="AG315" s="15">
        <f>AC315-(AC315+AC314)/2</f>
        <v>7.424999999999997</v>
      </c>
      <c r="AH315" s="15">
        <f>AD315-AH313</f>
        <v>7.155</v>
      </c>
      <c r="AI315" s="162">
        <f>AH304*AG315+AH305*AH315</f>
        <v>8.307332392014905</v>
      </c>
      <c r="AJ315" s="162">
        <f>AH304*AH315-AH305*AG315</f>
        <v>6.108426845643638</v>
      </c>
      <c r="AK315" s="163"/>
    </row>
    <row r="316" spans="27:37" ht="12">
      <c r="AA316" s="161">
        <v>60</v>
      </c>
      <c r="AB316" s="15">
        <v>87</v>
      </c>
      <c r="AC316" s="15">
        <f>AC306*AA316/100</f>
        <v>89.1</v>
      </c>
      <c r="AD316" s="15">
        <f>AD306*AB316/100</f>
        <v>13.833</v>
      </c>
      <c r="AE316" s="15"/>
      <c r="AF316" s="15"/>
      <c r="AG316" s="15">
        <f>AC316-(AC315+AC314)/2</f>
        <v>22.27499999999999</v>
      </c>
      <c r="AH316" s="15">
        <f>AD316-AH313</f>
        <v>5.883</v>
      </c>
      <c r="AI316" s="162">
        <f>AH304*AG316+AH305*AH316</f>
        <v>22.85798628759909</v>
      </c>
      <c r="AJ316" s="162">
        <f>AH304*AH316-AH305*AG316</f>
        <v>2.880586203523796</v>
      </c>
      <c r="AK316" s="163"/>
    </row>
    <row r="317" spans="27:37" ht="12">
      <c r="AA317" s="161">
        <v>70</v>
      </c>
      <c r="AB317" s="15">
        <v>74</v>
      </c>
      <c r="AC317" s="15">
        <f>AC306*AA317/100</f>
        <v>103.95</v>
      </c>
      <c r="AD317" s="15">
        <f>AD306*AB317/100</f>
        <v>11.766000000000002</v>
      </c>
      <c r="AE317" s="15"/>
      <c r="AF317" s="15"/>
      <c r="AG317" s="15">
        <f>AC317-(AC315+AC314)/2</f>
        <v>37.125</v>
      </c>
      <c r="AH317" s="15">
        <f>AD317-AH313</f>
        <v>3.8160000000000016</v>
      </c>
      <c r="AI317" s="162">
        <f>AH304*AG317+AH305*AH317</f>
        <v>37.30333350520137</v>
      </c>
      <c r="AJ317" s="162">
        <f>AH304*AH317-AH305*AG317</f>
        <v>-1.1352490474433479</v>
      </c>
      <c r="AK317" s="163"/>
    </row>
    <row r="318" spans="27:37" ht="12">
      <c r="AA318" s="161">
        <v>80</v>
      </c>
      <c r="AB318" s="15">
        <v>56</v>
      </c>
      <c r="AC318" s="15">
        <f>AC306*AA318/100</f>
        <v>118.8</v>
      </c>
      <c r="AD318" s="15">
        <f>AD306*AB318/100</f>
        <v>8.904</v>
      </c>
      <c r="AE318" s="15"/>
      <c r="AF318" s="15"/>
      <c r="AG318" s="15">
        <f>AC318-(AC315+AC314)/2</f>
        <v>51.974999999999994</v>
      </c>
      <c r="AH318" s="15">
        <f>AD318-AH313</f>
        <v>0.9539999999999997</v>
      </c>
      <c r="AI318" s="162">
        <f>AH304*AG318+AH305*AH318</f>
        <v>51.64337404482171</v>
      </c>
      <c r="AJ318" s="162">
        <f>AH304*AH318-AH305*AG318</f>
        <v>-5.939078907257795</v>
      </c>
      <c r="AK318" s="163"/>
    </row>
    <row r="319" spans="27:37" ht="12">
      <c r="AA319" s="161">
        <v>90</v>
      </c>
      <c r="AB319" s="15">
        <v>35</v>
      </c>
      <c r="AC319" s="15">
        <f>AC306*AA319/100</f>
        <v>133.65</v>
      </c>
      <c r="AD319" s="15">
        <f>AD306*AB319/100</f>
        <v>5.565</v>
      </c>
      <c r="AE319" s="15"/>
      <c r="AF319" s="15"/>
      <c r="AG319" s="15">
        <f>AC319-(AC315+AC314)/2</f>
        <v>66.825</v>
      </c>
      <c r="AH319" s="15">
        <f>AD319-AH313</f>
        <v>-2.385</v>
      </c>
      <c r="AI319" s="162">
        <f>AH304*AG319+AH305*AH319</f>
        <v>65.92023057765293</v>
      </c>
      <c r="AJ319" s="162">
        <f>AH304*AH319-AH305*AG319</f>
        <v>-11.215705532380625</v>
      </c>
      <c r="AK319" s="163"/>
    </row>
    <row r="320" spans="27:37" ht="12">
      <c r="AA320" s="161">
        <v>100</v>
      </c>
      <c r="AB320" s="15">
        <v>7</v>
      </c>
      <c r="AC320" s="15">
        <f>AC306*AA320/100</f>
        <v>148.5</v>
      </c>
      <c r="AD320" s="15">
        <f>AD306*AB320/100</f>
        <v>1.113</v>
      </c>
      <c r="AE320" s="15"/>
      <c r="AF320" s="15"/>
      <c r="AG320" s="15">
        <f>AC320-(AC315+AC314)/2</f>
        <v>81.675</v>
      </c>
      <c r="AH320" s="15">
        <f>AD320-AH313</f>
        <v>-6.837</v>
      </c>
      <c r="AI320" s="162">
        <f>AH304*AG320+AH305*AH320</f>
        <v>80.04965776130943</v>
      </c>
      <c r="AJ320" s="162">
        <f>AH304*AH320-AH305*AG320</f>
        <v>-17.595524609889672</v>
      </c>
      <c r="AK320" s="163"/>
    </row>
    <row r="321" spans="27:37" ht="12">
      <c r="AA321" s="161">
        <v>100</v>
      </c>
      <c r="AB321" s="15"/>
      <c r="AC321" s="15">
        <f>AC306*AA321/100</f>
        <v>148.5</v>
      </c>
      <c r="AD321" s="15">
        <v>0</v>
      </c>
      <c r="AE321" s="15"/>
      <c r="AF321" s="15"/>
      <c r="AG321" s="15">
        <f>AC321-(AC315+AC314)/2</f>
        <v>81.675</v>
      </c>
      <c r="AH321" s="15">
        <f>AD321-AH313</f>
        <v>-7.95</v>
      </c>
      <c r="AI321" s="162">
        <f>AH304*AG321+AH305*AH321</f>
        <v>79.90222841213475</v>
      </c>
      <c r="AJ321" s="162">
        <f>AH304*AH321-AH305*AG321</f>
        <v>-18.698717062275897</v>
      </c>
      <c r="AK321" s="163"/>
    </row>
    <row r="322" spans="27:37" ht="12">
      <c r="AA322" s="161"/>
      <c r="AB322" s="15"/>
      <c r="AC322" s="15"/>
      <c r="AD322" s="15"/>
      <c r="AE322" s="15"/>
      <c r="AF322" s="15"/>
      <c r="AG322" s="15">
        <f>AG307</f>
        <v>-66.825</v>
      </c>
      <c r="AH322" s="15">
        <f>AD307-AH313</f>
        <v>-7.95</v>
      </c>
      <c r="AI322" s="162">
        <f>AH304*AG322+AH305*AH322</f>
        <v>-67.28921739141788</v>
      </c>
      <c r="AJ322" s="162">
        <f>AH304*AH322-AH305*AG322</f>
        <v>0.9717756173656991</v>
      </c>
      <c r="AK322" s="163"/>
    </row>
    <row r="323" spans="27:37" ht="12">
      <c r="AA323" s="161"/>
      <c r="AB323" s="15"/>
      <c r="AC323" s="15"/>
      <c r="AD323" s="15"/>
      <c r="AE323" s="15"/>
      <c r="AF323" s="15"/>
      <c r="AG323" s="15"/>
      <c r="AH323" s="15"/>
      <c r="AI323" s="162"/>
      <c r="AJ323" s="162"/>
      <c r="AK323" s="163"/>
    </row>
    <row r="324" spans="27:37" ht="12">
      <c r="AA324" s="161"/>
      <c r="AB324" s="15"/>
      <c r="AC324" s="15"/>
      <c r="AD324" s="15"/>
      <c r="AE324" s="15"/>
      <c r="AF324" s="15"/>
      <c r="AG324" s="15"/>
      <c r="AH324" s="15"/>
      <c r="AI324" s="162"/>
      <c r="AJ324" s="162"/>
      <c r="AK324" s="163"/>
    </row>
    <row r="325" spans="27:37" ht="12">
      <c r="AA325" s="161"/>
      <c r="AB325" s="15"/>
      <c r="AC325" s="15"/>
      <c r="AD325" s="15"/>
      <c r="AE325" s="15"/>
      <c r="AF325" s="15"/>
      <c r="AG325" s="15"/>
      <c r="AH325" s="15"/>
      <c r="AI325" s="162"/>
      <c r="AJ325" s="162"/>
      <c r="AK325" s="163"/>
    </row>
    <row r="326" spans="27:37" ht="12">
      <c r="AA326" s="161"/>
      <c r="AB326" s="15"/>
      <c r="AC326" s="15"/>
      <c r="AD326" s="15"/>
      <c r="AE326" s="51" t="s">
        <v>0</v>
      </c>
      <c r="AF326" s="164">
        <f>Q46</f>
        <v>700</v>
      </c>
      <c r="AG326" s="15"/>
      <c r="AH326" s="15"/>
      <c r="AI326" s="162"/>
      <c r="AJ326" s="162"/>
      <c r="AK326" s="163"/>
    </row>
    <row r="327" spans="27:37" ht="12">
      <c r="AA327" s="161"/>
      <c r="AB327" s="15" t="s">
        <v>10</v>
      </c>
      <c r="AC327" s="15" t="s">
        <v>20</v>
      </c>
      <c r="AD327" s="15"/>
      <c r="AE327" s="15" t="s">
        <v>11</v>
      </c>
      <c r="AF327" s="176">
        <f>F46</f>
        <v>6.29399197814721</v>
      </c>
      <c r="AG327" s="15" t="s">
        <v>4</v>
      </c>
      <c r="AH327" s="177">
        <f>L46</f>
        <v>0.9939733437078574</v>
      </c>
      <c r="AI327" s="162"/>
      <c r="AJ327" s="162"/>
      <c r="AK327" s="163"/>
    </row>
    <row r="328" spans="27:37" ht="12">
      <c r="AA328" s="161"/>
      <c r="AB328" s="15"/>
      <c r="AC328" s="15" t="s">
        <v>22</v>
      </c>
      <c r="AD328" s="15"/>
      <c r="AE328" s="15"/>
      <c r="AF328" s="15"/>
      <c r="AG328" s="15" t="s">
        <v>8</v>
      </c>
      <c r="AH328" s="178">
        <f>T46</f>
        <v>0.10962204157112594</v>
      </c>
      <c r="AI328" s="162"/>
      <c r="AJ328" s="162"/>
      <c r="AK328" s="163"/>
    </row>
    <row r="329" spans="27:37" ht="12">
      <c r="AA329" s="161" t="s">
        <v>12</v>
      </c>
      <c r="AB329" s="15" t="s">
        <v>13</v>
      </c>
      <c r="AC329" s="175">
        <f>N46</f>
        <v>147</v>
      </c>
      <c r="AD329" s="15">
        <f>R46</f>
        <v>12.9</v>
      </c>
      <c r="AE329" s="15"/>
      <c r="AF329" s="15"/>
      <c r="AG329" s="15" t="s">
        <v>14</v>
      </c>
      <c r="AH329" s="15" t="s">
        <v>15</v>
      </c>
      <c r="AI329" s="162" t="s">
        <v>16</v>
      </c>
      <c r="AJ329" s="162" t="s">
        <v>17</v>
      </c>
      <c r="AK329" s="163"/>
    </row>
    <row r="330" spans="27:37" ht="12">
      <c r="AA330" s="161"/>
      <c r="AB330" s="15"/>
      <c r="AC330" s="15"/>
      <c r="AD330" s="15">
        <v>0</v>
      </c>
      <c r="AE330" s="15"/>
      <c r="AF330" s="15"/>
      <c r="AG330" s="15">
        <f>AC330-(AC338+AC337)/2</f>
        <v>-66.15</v>
      </c>
      <c r="AH330" s="15">
        <f>AD330-AH336</f>
        <v>-6.45</v>
      </c>
      <c r="AI330" s="162">
        <f>AH327*AG330+AH328*AH330</f>
        <v>-66.45839885440853</v>
      </c>
      <c r="AJ330" s="162">
        <f>AH327*AH330-AH328*AG330</f>
        <v>0.840369983014301</v>
      </c>
      <c r="AK330" s="163"/>
    </row>
    <row r="331" spans="27:37" ht="12">
      <c r="AA331" s="161">
        <v>0</v>
      </c>
      <c r="AB331" s="15">
        <v>10</v>
      </c>
      <c r="AC331" s="15">
        <f>AC329*AA331/100</f>
        <v>0</v>
      </c>
      <c r="AD331" s="15">
        <f>AD329*AB331/100</f>
        <v>1.29</v>
      </c>
      <c r="AE331" s="15"/>
      <c r="AF331" s="15"/>
      <c r="AG331" s="15">
        <f>AC331-(AC338+AC337)/2</f>
        <v>-66.15</v>
      </c>
      <c r="AH331" s="15">
        <f>AD331-AH336</f>
        <v>-5.16</v>
      </c>
      <c r="AI331" s="162">
        <f>AH327*AG331+AH328*AH331</f>
        <v>-66.31698642078177</v>
      </c>
      <c r="AJ331" s="162">
        <f>AH327*AH331-AH328*AG331</f>
        <v>2.1225955963974377</v>
      </c>
      <c r="AK331" s="163"/>
    </row>
    <row r="332" spans="27:37" ht="12">
      <c r="AA332" s="161">
        <v>2.5</v>
      </c>
      <c r="AB332" s="15">
        <v>41</v>
      </c>
      <c r="AC332" s="15">
        <f>AC329*AA332/100</f>
        <v>3.675</v>
      </c>
      <c r="AD332" s="15">
        <f>AD329*AB332/100</f>
        <v>5.289</v>
      </c>
      <c r="AE332" s="15"/>
      <c r="AF332" s="15"/>
      <c r="AG332" s="15">
        <f>AC332-(AC338+AC337)/2</f>
        <v>-62.47500000000001</v>
      </c>
      <c r="AH332" s="15">
        <f>AD332-AH336</f>
        <v>-1.1610000000000005</v>
      </c>
      <c r="AI332" s="162">
        <f>AH327*AG332+AH328*AH332</f>
        <v>-62.225755838412475</v>
      </c>
      <c r="AJ332" s="162">
        <f>AH327*AH332-AH328*AG332</f>
        <v>5.694633995111271</v>
      </c>
      <c r="AK332" s="163"/>
    </row>
    <row r="333" spans="27:37" ht="12">
      <c r="AA333" s="161">
        <v>5</v>
      </c>
      <c r="AB333" s="15">
        <v>59</v>
      </c>
      <c r="AC333" s="15">
        <f>AC329*AA333/100</f>
        <v>7.35</v>
      </c>
      <c r="AD333" s="15">
        <f>AD329*AB333/100</f>
        <v>7.611000000000001</v>
      </c>
      <c r="AE333" s="15"/>
      <c r="AF333" s="15"/>
      <c r="AG333" s="15">
        <f>AC333-(AC338+AC337)/2</f>
        <v>-58.800000000000004</v>
      </c>
      <c r="AH333" s="15">
        <f>AD333-AH336</f>
        <v>1.1610000000000005</v>
      </c>
      <c r="AI333" s="162">
        <f>AH327*AG333+AH328*AH333</f>
        <v>-58.31836141975794</v>
      </c>
      <c r="AJ333" s="162">
        <f>AH327*AH333-AH328*AG333</f>
        <v>7.599779096427029</v>
      </c>
      <c r="AK333" s="163"/>
    </row>
    <row r="334" spans="27:37" ht="12">
      <c r="AA334" s="161">
        <v>10</v>
      </c>
      <c r="AB334" s="15">
        <v>79</v>
      </c>
      <c r="AC334" s="15">
        <f>AC329*AA334/100</f>
        <v>14.7</v>
      </c>
      <c r="AD334" s="15">
        <f>AD329*AB334/100</f>
        <v>10.191</v>
      </c>
      <c r="AE334" s="15"/>
      <c r="AF334" s="15"/>
      <c r="AG334" s="15">
        <f>AC334-(AC338+AC337)/2</f>
        <v>-51.45</v>
      </c>
      <c r="AH334" s="15">
        <f>AD334-AH336</f>
        <v>3.7410000000000005</v>
      </c>
      <c r="AI334" s="162">
        <f>AH327*AG334+AH328*AH334</f>
        <v>-50.72983247625168</v>
      </c>
      <c r="AJ334" s="162">
        <f>AH327*AH334-AH328*AG334</f>
        <v>9.358508317645525</v>
      </c>
      <c r="AK334" s="163"/>
    </row>
    <row r="335" spans="27:37" ht="12">
      <c r="AA335" s="161">
        <v>20</v>
      </c>
      <c r="AB335" s="15">
        <v>95</v>
      </c>
      <c r="AC335" s="15">
        <f>AC329*AA335/100</f>
        <v>29.4</v>
      </c>
      <c r="AD335" s="15">
        <f>AD329*AB335/100</f>
        <v>12.255</v>
      </c>
      <c r="AE335" s="15"/>
      <c r="AF335" s="15"/>
      <c r="AG335" s="15">
        <f>AC335-(AC338+AC337)/2</f>
        <v>-36.75000000000001</v>
      </c>
      <c r="AH335" s="15">
        <f>AD335-AH336</f>
        <v>5.805000000000001</v>
      </c>
      <c r="AI335" s="162">
        <f>AH327*AG335+AH328*AH335</f>
        <v>-35.89216442994338</v>
      </c>
      <c r="AJ335" s="162">
        <f>AH327*AH335-AH328*AG335</f>
        <v>9.798625287962992</v>
      </c>
      <c r="AK335" s="163"/>
    </row>
    <row r="336" spans="27:37" ht="12">
      <c r="AA336" s="161">
        <v>30</v>
      </c>
      <c r="AB336" s="15">
        <v>100</v>
      </c>
      <c r="AC336" s="15">
        <f>AC329*AA336/100</f>
        <v>44.1</v>
      </c>
      <c r="AD336" s="15">
        <f>AD329*AB336/100</f>
        <v>12.9</v>
      </c>
      <c r="AE336" s="15"/>
      <c r="AF336" s="15"/>
      <c r="AG336" s="15">
        <f>AC336-(AC338+AC337)/2</f>
        <v>-22.050000000000004</v>
      </c>
      <c r="AH336" s="15">
        <f>AD336/2</f>
        <v>6.45</v>
      </c>
      <c r="AI336" s="162">
        <f>AH327*AG336+AH328*AH336</f>
        <v>-21.210050060624496</v>
      </c>
      <c r="AJ336" s="162">
        <f>AH327*AH336-AH328*AG336</f>
        <v>8.828294083559008</v>
      </c>
      <c r="AK336" s="163"/>
    </row>
    <row r="337" spans="27:37" ht="12">
      <c r="AA337" s="161">
        <v>40</v>
      </c>
      <c r="AB337" s="15">
        <v>99</v>
      </c>
      <c r="AC337" s="15">
        <f>AC329*AA337/100</f>
        <v>58.8</v>
      </c>
      <c r="AD337" s="15">
        <f>AD329*AB337/100</f>
        <v>12.771</v>
      </c>
      <c r="AE337" s="15"/>
      <c r="AF337" s="15"/>
      <c r="AG337" s="15">
        <f>AC337-(AC338+AC337)/2</f>
        <v>-7.3500000000000085</v>
      </c>
      <c r="AH337" s="15">
        <f>AD337-AH336</f>
        <v>6.321000000000001</v>
      </c>
      <c r="AI337" s="162">
        <f>AH327*AG337+AH328*AH337</f>
        <v>-6.612783151481673</v>
      </c>
      <c r="AJ337" s="162">
        <f>AH327*AH337-AH328*AG337</f>
        <v>7.088627511125144</v>
      </c>
      <c r="AK337" s="163"/>
    </row>
    <row r="338" spans="27:37" ht="12">
      <c r="AA338" s="161">
        <v>50</v>
      </c>
      <c r="AB338" s="15">
        <v>95</v>
      </c>
      <c r="AC338" s="15">
        <f>AC329*AA338/100</f>
        <v>73.5</v>
      </c>
      <c r="AD338" s="15">
        <f>AD329*AB338/100</f>
        <v>12.255</v>
      </c>
      <c r="AE338" s="15"/>
      <c r="AF338" s="15"/>
      <c r="AG338" s="15">
        <f>AC338-(AC338+AC337)/2</f>
        <v>7.349999999999994</v>
      </c>
      <c r="AH338" s="15">
        <f>AD338-AH336</f>
        <v>5.805000000000001</v>
      </c>
      <c r="AI338" s="162">
        <f>AH327*AG338+AH328*AH338</f>
        <v>7.942060027573132</v>
      </c>
      <c r="AJ338" s="162">
        <f>AH327*AH338-AH328*AG338</f>
        <v>4.964293254676337</v>
      </c>
      <c r="AK338" s="163"/>
    </row>
    <row r="339" spans="27:37" ht="12">
      <c r="AA339" s="161">
        <v>60</v>
      </c>
      <c r="AB339" s="15">
        <v>87</v>
      </c>
      <c r="AC339" s="15">
        <f>AC329*AA339/100</f>
        <v>88.2</v>
      </c>
      <c r="AD339" s="15">
        <f>AD329*AB339/100</f>
        <v>11.222999999999999</v>
      </c>
      <c r="AE339" s="15"/>
      <c r="AF339" s="15"/>
      <c r="AG339" s="15">
        <f>AC339-(AC338+AC337)/2</f>
        <v>22.049999999999997</v>
      </c>
      <c r="AH339" s="15">
        <f>AD339-AH336</f>
        <v>4.772999999999999</v>
      </c>
      <c r="AI339" s="162">
        <f>AH327*AG339+AH328*AH339</f>
        <v>22.440338233177236</v>
      </c>
      <c r="AJ339" s="162">
        <f>AH327*AH339-AH328*AG339</f>
        <v>2.3270687528742755</v>
      </c>
      <c r="AK339" s="163"/>
    </row>
    <row r="340" spans="27:37" ht="12">
      <c r="AA340" s="161">
        <v>70</v>
      </c>
      <c r="AB340" s="15">
        <v>74</v>
      </c>
      <c r="AC340" s="15">
        <f>AC329*AA340/100</f>
        <v>102.9</v>
      </c>
      <c r="AD340" s="15">
        <f>AD329*AB340/100</f>
        <v>9.546</v>
      </c>
      <c r="AE340" s="15"/>
      <c r="AF340" s="15"/>
      <c r="AG340" s="15">
        <f>AC340-(AC338+AC337)/2</f>
        <v>36.75</v>
      </c>
      <c r="AH340" s="15">
        <f>AD340-AH336</f>
        <v>3.095999999999999</v>
      </c>
      <c r="AI340" s="162">
        <f>AH327*AG340+AH328*AH340</f>
        <v>36.86791022196797</v>
      </c>
      <c r="AJ340" s="162">
        <f>AH327*AH340-AH328*AG340</f>
        <v>-0.9512685556193525</v>
      </c>
      <c r="AK340" s="163"/>
    </row>
    <row r="341" spans="27:37" ht="12">
      <c r="AA341" s="161">
        <v>80</v>
      </c>
      <c r="AB341" s="15">
        <v>56</v>
      </c>
      <c r="AC341" s="15">
        <f>AC329*AA341/100</f>
        <v>117.6</v>
      </c>
      <c r="AD341" s="15">
        <f>AD329*AB341/100</f>
        <v>7.224</v>
      </c>
      <c r="AE341" s="15"/>
      <c r="AF341" s="15"/>
      <c r="AG341" s="15">
        <f>AC341-(AC338+AC337)/2</f>
        <v>51.44999999999999</v>
      </c>
      <c r="AH341" s="15">
        <f>AD341-AH336</f>
        <v>0.774</v>
      </c>
      <c r="AI341" s="162">
        <f>AH327*AG341+AH328*AH341</f>
        <v>51.2247759939453</v>
      </c>
      <c r="AJ341" s="162">
        <f>AH327*AH341-AH328*AG341</f>
        <v>-4.870718670804546</v>
      </c>
      <c r="AK341" s="163"/>
    </row>
    <row r="342" spans="27:37" ht="12">
      <c r="AA342" s="161">
        <v>90</v>
      </c>
      <c r="AB342" s="15">
        <v>35</v>
      </c>
      <c r="AC342" s="15">
        <f>AC329*AA342/100</f>
        <v>132.3</v>
      </c>
      <c r="AD342" s="15">
        <f>AD329*AB342/100</f>
        <v>4.515</v>
      </c>
      <c r="AE342" s="15"/>
      <c r="AF342" s="15"/>
      <c r="AG342" s="15">
        <f>AC342-(AC338+AC337)/2</f>
        <v>66.15</v>
      </c>
      <c r="AH342" s="15">
        <f>AD342-AH336</f>
        <v>-1.9350000000000005</v>
      </c>
      <c r="AI342" s="162">
        <f>AH327*AG342+AH328*AH342</f>
        <v>65.53921803583464</v>
      </c>
      <c r="AJ342" s="162">
        <f>AH327*AH342-AH328*AG342</f>
        <v>-9.174836470004687</v>
      </c>
      <c r="AK342" s="163"/>
    </row>
    <row r="343" spans="27:37" ht="12">
      <c r="AA343" s="161">
        <v>100</v>
      </c>
      <c r="AB343" s="15">
        <v>7</v>
      </c>
      <c r="AC343" s="15">
        <f>AC329*AA343/100</f>
        <v>147</v>
      </c>
      <c r="AD343" s="15">
        <f>AD329*AB343/100</f>
        <v>0.903</v>
      </c>
      <c r="AE343" s="15"/>
      <c r="AF343" s="15"/>
      <c r="AG343" s="15">
        <f>AC343-(AC338+AC337)/2</f>
        <v>80.85</v>
      </c>
      <c r="AH343" s="15">
        <f>AD343-AH336</f>
        <v>-5.547000000000001</v>
      </c>
      <c r="AI343" s="162">
        <f>AH327*AG343+AH328*AH343</f>
        <v>79.75467137418522</v>
      </c>
      <c r="AJ343" s="162">
        <f>AH327*AH343-AH328*AG343</f>
        <v>-14.376512198573018</v>
      </c>
      <c r="AK343" s="163"/>
    </row>
    <row r="344" spans="27:37" ht="12">
      <c r="AA344" s="161">
        <v>100</v>
      </c>
      <c r="AB344" s="15"/>
      <c r="AC344" s="15">
        <f>AC329*AA344/100</f>
        <v>147</v>
      </c>
      <c r="AD344" s="15">
        <v>0</v>
      </c>
      <c r="AE344" s="15"/>
      <c r="AF344" s="15"/>
      <c r="AG344" s="15">
        <f>AC344-(AC338+AC337)/2</f>
        <v>80.85</v>
      </c>
      <c r="AH344" s="15">
        <f>AD344-AH336</f>
        <v>-6.45</v>
      </c>
      <c r="AI344" s="162">
        <f>AH327*AG344+AH328*AH344</f>
        <v>79.6556826706465</v>
      </c>
      <c r="AJ344" s="162">
        <f>AH327*AH344-AH328*AG344</f>
        <v>-15.274070127941211</v>
      </c>
      <c r="AK344" s="163"/>
    </row>
    <row r="345" spans="27:37" ht="12">
      <c r="AA345" s="161"/>
      <c r="AB345" s="15"/>
      <c r="AC345" s="15"/>
      <c r="AD345" s="15"/>
      <c r="AE345" s="15"/>
      <c r="AF345" s="15"/>
      <c r="AG345" s="15">
        <f>AG330</f>
        <v>-66.15</v>
      </c>
      <c r="AH345" s="15">
        <f>AD330-AH336</f>
        <v>-6.45</v>
      </c>
      <c r="AI345" s="162">
        <f>AH327*AG345+AH328*AH345</f>
        <v>-66.45839885440853</v>
      </c>
      <c r="AJ345" s="162">
        <f>AH327*AH345-AH328*AG345</f>
        <v>0.840369983014301</v>
      </c>
      <c r="AK345" s="163"/>
    </row>
    <row r="346" spans="27:37" ht="12">
      <c r="AA346" s="161"/>
      <c r="AB346" s="15"/>
      <c r="AC346" s="15"/>
      <c r="AD346" s="15"/>
      <c r="AE346" s="15"/>
      <c r="AF346" s="15"/>
      <c r="AG346" s="15"/>
      <c r="AH346" s="15"/>
      <c r="AI346" s="162"/>
      <c r="AJ346" s="162"/>
      <c r="AK346" s="163"/>
    </row>
    <row r="347" spans="27:37" ht="12">
      <c r="AA347" s="161"/>
      <c r="AB347" s="15"/>
      <c r="AC347" s="15"/>
      <c r="AD347" s="15"/>
      <c r="AE347" s="15"/>
      <c r="AF347" s="15"/>
      <c r="AG347" s="15"/>
      <c r="AH347" s="15"/>
      <c r="AI347" s="162"/>
      <c r="AJ347" s="162"/>
      <c r="AK347" s="163"/>
    </row>
    <row r="348" spans="27:37" ht="12">
      <c r="AA348" s="161"/>
      <c r="AB348" s="15"/>
      <c r="AC348" s="15"/>
      <c r="AD348" s="15"/>
      <c r="AE348" s="15"/>
      <c r="AF348" s="15"/>
      <c r="AG348" s="15"/>
      <c r="AH348" s="15"/>
      <c r="AI348" s="162"/>
      <c r="AJ348" s="162"/>
      <c r="AK348" s="163"/>
    </row>
    <row r="349" spans="27:37" ht="12">
      <c r="AA349" s="161"/>
      <c r="AB349" s="15"/>
      <c r="AC349" s="15"/>
      <c r="AD349" s="15"/>
      <c r="AE349" s="15"/>
      <c r="AF349" s="15"/>
      <c r="AG349" s="15"/>
      <c r="AH349" s="15"/>
      <c r="AI349" s="162"/>
      <c r="AJ349" s="162"/>
      <c r="AK349" s="163"/>
    </row>
    <row r="350" spans="27:37" ht="12">
      <c r="AA350" s="161"/>
      <c r="AB350" s="15"/>
      <c r="AC350" s="15"/>
      <c r="AD350" s="15"/>
      <c r="AE350" s="15"/>
      <c r="AF350" s="15"/>
      <c r="AG350" s="15"/>
      <c r="AH350" s="15"/>
      <c r="AI350" s="162"/>
      <c r="AJ350" s="162"/>
      <c r="AK350" s="163"/>
    </row>
    <row r="351" spans="27:37" ht="12.75" thickBot="1">
      <c r="AA351" s="179"/>
      <c r="AB351" s="180"/>
      <c r="AC351" s="180"/>
      <c r="AD351" s="180"/>
      <c r="AE351" s="180"/>
      <c r="AF351" s="180"/>
      <c r="AG351" s="180"/>
      <c r="AH351" s="180"/>
      <c r="AI351" s="181"/>
      <c r="AJ351" s="181"/>
      <c r="AK351" s="18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H3"/>
  <sheetViews>
    <sheetView zoomScalePageLayoutView="0" workbookViewId="0" topLeftCell="A1">
      <selection activeCell="G3" sqref="G3"/>
    </sheetView>
  </sheetViews>
  <sheetFormatPr defaultColWidth="9.00390625" defaultRowHeight="12.75"/>
  <sheetData>
    <row r="2" ht="12">
      <c r="F2" t="s">
        <v>38</v>
      </c>
    </row>
    <row r="3" spans="6:8" ht="12">
      <c r="F3" t="s">
        <v>39</v>
      </c>
      <c r="G3" s="34">
        <f>Расчет!B55</f>
        <v>0</v>
      </c>
      <c r="H3" t="s">
        <v>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</dc:creator>
  <cp:keywords/>
  <dc:description/>
  <cp:lastModifiedBy>м</cp:lastModifiedBy>
  <cp:lastPrinted>2007-12-07T17:55:02Z</cp:lastPrinted>
  <dcterms:created xsi:type="dcterms:W3CDTF">2005-10-15T08:44:07Z</dcterms:created>
  <dcterms:modified xsi:type="dcterms:W3CDTF">2011-08-09T03:06:54Z</dcterms:modified>
  <cp:category/>
  <cp:version/>
  <cp:contentType/>
  <cp:contentStatus/>
</cp:coreProperties>
</file>